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showInkAnnotation="0" codeName="ThisWorkbook"/>
  <xr:revisionPtr revIDLastSave="0" documentId="13_ncr:1_{85FEC8E5-F8C2-4C48-8B89-650D7F17CCDA}" xr6:coauthVersionLast="36" xr6:coauthVersionMax="47" xr10:uidLastSave="{00000000-0000-0000-0000-000000000000}"/>
  <bookViews>
    <workbookView xWindow="-20" yWindow="-12710" windowWidth="20380" windowHeight="12100" tabRatio="879" activeTab="2" xr2:uid="{D39F231F-A757-42C6-89FF-95BEDF7C6ED1}"/>
  </bookViews>
  <sheets>
    <sheet name="Bienvenue !" sheetId="15" r:id="rId1"/>
    <sheet name="0_Commencer" sheetId="32" r:id="rId2"/>
    <sheet name="1_Votre Structure" sheetId="16" r:id="rId3"/>
    <sheet name="2_ConsoEnergieEau" sheetId="17" r:id="rId4"/>
    <sheet name="3_Climatisation" sheetId="18" r:id="rId5"/>
    <sheet name="4_Bâtiments,travaux, agcmt" sheetId="38" r:id="rId6"/>
    <sheet name="5_Déchets" sheetId="23" r:id="rId7"/>
    <sheet name="6_DéplacementsPrestations" sheetId="19" r:id="rId8"/>
    <sheet name="7_DéplacementsProfessionnels" sheetId="20" r:id="rId9"/>
    <sheet name="8_DéplacementsSalariés" sheetId="21" r:id="rId10"/>
    <sheet name="9_DéplacementsVisiteurs" sheetId="29" r:id="rId11"/>
    <sheet name="10_Tournées artistiques" sheetId="4" r:id="rId12"/>
    <sheet name="11_Artistes invité.e.s" sheetId="10" r:id="rId13"/>
    <sheet name="12_Equipements" sheetId="22" r:id="rId14"/>
    <sheet name="BDD FE" sheetId="6" state="hidden" r:id="rId15"/>
    <sheet name="13_Achats - Documents papiers" sheetId="37" r:id="rId16"/>
    <sheet name="14_Décors" sheetId="40" r:id="rId17"/>
    <sheet name="15_Alimentation" sheetId="14" r:id="rId18"/>
    <sheet name="16_Autres achats (€)" sheetId="39" r:id="rId19"/>
    <sheet name="17_TransportMatériel" sheetId="24" r:id="rId20"/>
    <sheet name="18_ImpressionsComPapier" sheetId="41" r:id="rId21"/>
    <sheet name="19_ComDigitale" sheetId="27" r:id="rId22"/>
    <sheet name="20_Billetterie" sheetId="28" r:id="rId23"/>
    <sheet name="Tableau de Synthèse" sheetId="31" r:id="rId24"/>
    <sheet name="Synthèse imprimable" sheetId="9" r:id="rId25"/>
    <sheet name="BDD FE Alim" sheetId="12" state="hidden" r:id="rId26"/>
    <sheet name="BDD agribalyse" sheetId="13" state="hidden" r:id="rId27"/>
    <sheet name="Liste" sheetId="11" state="hidden" r:id="rId28"/>
  </sheets>
  <definedNames>
    <definedName name="_xlnm._FilterDatabase" localSheetId="26" hidden="1">'BDD agribalyse'!$A$2:$L$2520</definedName>
    <definedName name="BDDAgribalyse">'BDD agribalyse'!$A$1:$L$2520</definedName>
    <definedName name="VOITURES">'BDD FE'!$B$145:$H$148</definedName>
    <definedName name="_xlnm.Print_Area" localSheetId="24">'Synthèse imprimable'!$A$2:$AE$93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39" l="1" a="1"/>
  <c r="C39" i="39" s="1"/>
  <c r="I9" i="9" l="1"/>
  <c r="Q9" i="9"/>
  <c r="H34" i="38"/>
  <c r="J25" i="22"/>
  <c r="G166" i="6"/>
  <c r="G158" i="6"/>
  <c r="G136" i="6" l="1"/>
  <c r="E139" i="6"/>
  <c r="E138" i="6"/>
  <c r="E137" i="6"/>
  <c r="E136" i="6"/>
  <c r="E145" i="6"/>
  <c r="E21" i="29" l="1"/>
  <c r="I498" i="6"/>
  <c r="I497" i="6"/>
  <c r="I496" i="6"/>
  <c r="I495" i="6"/>
  <c r="I494" i="6"/>
  <c r="I493" i="6"/>
  <c r="I492" i="6"/>
  <c r="I491" i="6"/>
  <c r="I490" i="6"/>
  <c r="I489" i="6"/>
  <c r="I488" i="6"/>
  <c r="I487" i="6"/>
  <c r="I486" i="6"/>
  <c r="I485" i="6"/>
  <c r="I484" i="6"/>
  <c r="I483" i="6"/>
  <c r="I482" i="6"/>
  <c r="I481" i="6"/>
  <c r="I480" i="6"/>
  <c r="G9" i="32" l="1"/>
  <c r="F9" i="32"/>
  <c r="D10" i="14" l="1"/>
  <c r="D11" i="14"/>
  <c r="D12" i="14"/>
  <c r="D13" i="14"/>
  <c r="D14" i="14"/>
  <c r="D15" i="14"/>
  <c r="D16" i="14"/>
  <c r="D17" i="14"/>
  <c r="D19" i="14"/>
  <c r="D18" i="14" l="1"/>
  <c r="H14" i="24" l="1"/>
  <c r="H15" i="24"/>
  <c r="H16" i="24"/>
  <c r="H17" i="24"/>
  <c r="H18" i="24"/>
  <c r="H19" i="24"/>
  <c r="H20" i="24"/>
  <c r="H21" i="24"/>
  <c r="H22" i="24"/>
  <c r="H23" i="24"/>
  <c r="H24" i="24"/>
  <c r="H25" i="24"/>
  <c r="H26" i="24"/>
  <c r="H27" i="24"/>
  <c r="H28" i="24"/>
  <c r="H29" i="24"/>
  <c r="H30" i="24"/>
  <c r="H13" i="24"/>
  <c r="N15" i="10"/>
  <c r="K34" i="4"/>
  <c r="H15" i="10"/>
  <c r="J171" i="22"/>
  <c r="J173" i="22"/>
  <c r="J174" i="22"/>
  <c r="J175" i="22"/>
  <c r="J176" i="22"/>
  <c r="J177" i="22"/>
  <c r="J178" i="22"/>
  <c r="J179" i="22"/>
  <c r="J180" i="22"/>
  <c r="J181" i="22"/>
  <c r="J182" i="22"/>
  <c r="J172" i="22"/>
  <c r="D63" i="29" l="1"/>
  <c r="D73" i="21"/>
  <c r="D67" i="21"/>
  <c r="E67" i="21"/>
  <c r="F67" i="21"/>
  <c r="G67" i="21"/>
  <c r="G141" i="6"/>
  <c r="G142" i="6"/>
  <c r="G93" i="22" l="1"/>
  <c r="G94" i="22"/>
  <c r="G95" i="22"/>
  <c r="G96" i="22"/>
  <c r="G97" i="22"/>
  <c r="G98" i="22"/>
  <c r="G99" i="22"/>
  <c r="G100" i="22"/>
  <c r="G101" i="22"/>
  <c r="G102" i="22"/>
  <c r="G103" i="22"/>
  <c r="G104" i="22"/>
  <c r="G105" i="22"/>
  <c r="G106" i="22"/>
  <c r="G107" i="22"/>
  <c r="G108" i="22"/>
  <c r="G109" i="22"/>
  <c r="G110" i="22"/>
  <c r="G111" i="22"/>
  <c r="G112" i="22"/>
  <c r="G113" i="22"/>
  <c r="G92" i="22"/>
  <c r="J14" i="24"/>
  <c r="H54" i="22"/>
  <c r="G134" i="6"/>
  <c r="E134" i="6"/>
  <c r="E135" i="6"/>
  <c r="G135" i="6" s="1"/>
  <c r="H10" i="14"/>
  <c r="H55" i="40"/>
  <c r="H56" i="40"/>
  <c r="H57" i="40"/>
  <c r="H58" i="40"/>
  <c r="H54" i="40"/>
  <c r="I13" i="19"/>
  <c r="C38" i="17"/>
  <c r="D38" i="17" s="1"/>
  <c r="G28" i="39"/>
  <c r="G29" i="39"/>
  <c r="V47" i="41"/>
  <c r="X47" i="41" s="1"/>
  <c r="H22" i="37"/>
  <c r="H23" i="37"/>
  <c r="H24" i="37"/>
  <c r="H25" i="37"/>
  <c r="H26" i="37"/>
  <c r="H27" i="37"/>
  <c r="H28" i="37"/>
  <c r="H29" i="37"/>
  <c r="H30" i="37"/>
  <c r="H31" i="37"/>
  <c r="H32" i="37"/>
  <c r="H33" i="37"/>
  <c r="H34" i="37"/>
  <c r="H21" i="37"/>
  <c r="H24" i="40"/>
  <c r="H25" i="40"/>
  <c r="H26" i="40"/>
  <c r="H27" i="40"/>
  <c r="H28" i="40"/>
  <c r="H29" i="40"/>
  <c r="H30" i="40"/>
  <c r="H31" i="40"/>
  <c r="H32" i="40"/>
  <c r="H33" i="40"/>
  <c r="H34" i="40"/>
  <c r="H35" i="40"/>
  <c r="H36" i="40"/>
  <c r="H23" i="40"/>
  <c r="C446" i="6"/>
  <c r="C447" i="6"/>
  <c r="C448" i="6"/>
  <c r="C449" i="6"/>
  <c r="C445" i="6"/>
  <c r="C453" i="6"/>
  <c r="C452" i="6"/>
  <c r="C451" i="6"/>
  <c r="D39" i="39" l="1"/>
  <c r="D51" i="29"/>
  <c r="D52" i="29"/>
  <c r="D53" i="29"/>
  <c r="D54" i="29"/>
  <c r="D55" i="29"/>
  <c r="D56" i="29"/>
  <c r="D57" i="29"/>
  <c r="D58" i="29"/>
  <c r="D59" i="29"/>
  <c r="D60" i="29"/>
  <c r="D61" i="29"/>
  <c r="D62" i="29"/>
  <c r="D75" i="29" s="1"/>
  <c r="D64" i="29"/>
  <c r="D65" i="29"/>
  <c r="D66" i="29"/>
  <c r="D67" i="29"/>
  <c r="D68" i="29"/>
  <c r="D69" i="29"/>
  <c r="F71" i="21"/>
  <c r="F72" i="21"/>
  <c r="G72" i="21"/>
  <c r="F73" i="21"/>
  <c r="G73" i="21"/>
  <c r="F56" i="21"/>
  <c r="G56" i="21"/>
  <c r="F57" i="21"/>
  <c r="G57" i="21"/>
  <c r="F58" i="21"/>
  <c r="G58" i="21"/>
  <c r="F59" i="21"/>
  <c r="G59" i="21"/>
  <c r="F60" i="21"/>
  <c r="G60" i="21"/>
  <c r="F61" i="21"/>
  <c r="G61" i="21"/>
  <c r="F62" i="21"/>
  <c r="G62" i="21"/>
  <c r="F63" i="21"/>
  <c r="G63" i="21"/>
  <c r="F64" i="21"/>
  <c r="G64" i="21"/>
  <c r="F65" i="21"/>
  <c r="F66" i="21"/>
  <c r="F81" i="21" s="1"/>
  <c r="F68" i="21"/>
  <c r="F69" i="21"/>
  <c r="F70" i="21"/>
  <c r="G70" i="21"/>
  <c r="F55" i="21"/>
  <c r="E57" i="21"/>
  <c r="E58" i="21"/>
  <c r="E59" i="21"/>
  <c r="E60" i="21"/>
  <c r="E61" i="21"/>
  <c r="E62" i="21"/>
  <c r="E63" i="21"/>
  <c r="E64" i="21"/>
  <c r="E69" i="21"/>
  <c r="E70" i="21"/>
  <c r="E71" i="21"/>
  <c r="E72" i="21"/>
  <c r="E73" i="21"/>
  <c r="D56" i="21"/>
  <c r="D57" i="21"/>
  <c r="D58" i="21"/>
  <c r="D59" i="21"/>
  <c r="D60" i="21"/>
  <c r="D61" i="21"/>
  <c r="D62" i="21"/>
  <c r="D63" i="21"/>
  <c r="D64" i="21"/>
  <c r="D65" i="21"/>
  <c r="D66" i="21"/>
  <c r="D81" i="21" s="1"/>
  <c r="D68" i="21"/>
  <c r="D69" i="21"/>
  <c r="D70" i="21"/>
  <c r="D71" i="21"/>
  <c r="D72" i="21"/>
  <c r="D55" i="21"/>
  <c r="E57" i="20"/>
  <c r="E58" i="20"/>
  <c r="E60" i="20"/>
  <c r="E62" i="20"/>
  <c r="E63" i="20"/>
  <c r="E65" i="20"/>
  <c r="E68" i="20"/>
  <c r="E70" i="20"/>
  <c r="E71" i="20"/>
  <c r="E72" i="20"/>
  <c r="E73" i="20"/>
  <c r="H18" i="27"/>
  <c r="K56" i="4"/>
  <c r="K57" i="4"/>
  <c r="K58" i="4"/>
  <c r="K59" i="4"/>
  <c r="K60" i="4"/>
  <c r="K61" i="4"/>
  <c r="K62" i="4"/>
  <c r="K63" i="4"/>
  <c r="K64" i="4"/>
  <c r="K65" i="4"/>
  <c r="K66" i="4"/>
  <c r="K67" i="4"/>
  <c r="K68" i="4"/>
  <c r="K69" i="4"/>
  <c r="K70" i="4"/>
  <c r="J55" i="4"/>
  <c r="G421" i="6"/>
  <c r="G408" i="6"/>
  <c r="G410" i="6"/>
  <c r="G406" i="6"/>
  <c r="G405" i="6"/>
  <c r="G411" i="6"/>
  <c r="G387" i="6"/>
  <c r="G388" i="6"/>
  <c r="G389" i="6"/>
  <c r="G390" i="6"/>
  <c r="G391" i="6"/>
  <c r="G392" i="6"/>
  <c r="G393" i="6"/>
  <c r="G394" i="6"/>
  <c r="G395" i="6"/>
  <c r="G396" i="6"/>
  <c r="G397" i="6"/>
  <c r="G398" i="6"/>
  <c r="G399" i="6"/>
  <c r="K55" i="4" s="1"/>
  <c r="G400" i="6"/>
  <c r="G401" i="6"/>
  <c r="G402" i="6"/>
  <c r="G403" i="6"/>
  <c r="G407" i="6"/>
  <c r="G409" i="6"/>
  <c r="G412" i="6"/>
  <c r="G413" i="6"/>
  <c r="G414" i="6"/>
  <c r="G415" i="6"/>
  <c r="G416" i="6"/>
  <c r="G417" i="6"/>
  <c r="G418" i="6"/>
  <c r="G419" i="6"/>
  <c r="G420" i="6"/>
  <c r="J13" i="24"/>
  <c r="K42" i="4"/>
  <c r="K41" i="4"/>
  <c r="K40" i="4"/>
  <c r="K39" i="4"/>
  <c r="K38" i="4"/>
  <c r="K37" i="4"/>
  <c r="K36" i="4"/>
  <c r="K35" i="4"/>
  <c r="K20" i="20"/>
  <c r="E66" i="20" s="1"/>
  <c r="K25" i="20"/>
  <c r="E55" i="20" s="1"/>
  <c r="K26" i="20"/>
  <c r="E67" i="20" s="1"/>
  <c r="K27" i="20"/>
  <c r="K28" i="20"/>
  <c r="K29" i="20"/>
  <c r="K30" i="20"/>
  <c r="K31" i="20"/>
  <c r="K32" i="20"/>
  <c r="K33" i="20"/>
  <c r="K34" i="20"/>
  <c r="K35" i="20"/>
  <c r="K36" i="20"/>
  <c r="K37" i="20"/>
  <c r="K38" i="20"/>
  <c r="D90" i="37"/>
  <c r="D85" i="37"/>
  <c r="H76" i="37"/>
  <c r="J26" i="22"/>
  <c r="J27" i="22"/>
  <c r="J28" i="22"/>
  <c r="J29" i="22"/>
  <c r="J30" i="22"/>
  <c r="J31" i="22"/>
  <c r="J32" i="22"/>
  <c r="J33" i="22"/>
  <c r="J34" i="22"/>
  <c r="J35" i="22"/>
  <c r="J36" i="22"/>
  <c r="H75" i="22"/>
  <c r="H76" i="22"/>
  <c r="H77" i="22"/>
  <c r="H78" i="22"/>
  <c r="H79" i="22"/>
  <c r="H80" i="22"/>
  <c r="H81" i="22"/>
  <c r="H82" i="22"/>
  <c r="H74" i="22"/>
  <c r="H83" i="22"/>
  <c r="C731" i="6"/>
  <c r="C730" i="6"/>
  <c r="G122" i="22"/>
  <c r="G123" i="22"/>
  <c r="G124" i="22"/>
  <c r="G125" i="22"/>
  <c r="G126" i="22"/>
  <c r="G127" i="22"/>
  <c r="G121" i="22"/>
  <c r="I11" i="31" l="1"/>
  <c r="K11" i="31"/>
  <c r="D73" i="29"/>
  <c r="D74" i="29"/>
  <c r="D76" i="29"/>
  <c r="D77" i="29"/>
  <c r="F79" i="21"/>
  <c r="H81" i="21"/>
  <c r="D80" i="21"/>
  <c r="H55" i="20"/>
  <c r="H57" i="20"/>
  <c r="E79" i="21"/>
  <c r="F80" i="21"/>
  <c r="F82" i="21"/>
  <c r="D82" i="21"/>
  <c r="E83" i="21"/>
  <c r="G79" i="21"/>
  <c r="F83" i="21"/>
  <c r="D79" i="21"/>
  <c r="D83" i="21"/>
  <c r="K71" i="4"/>
  <c r="G404" i="6"/>
  <c r="C728" i="6"/>
  <c r="C727" i="6"/>
  <c r="C723" i="6" s="1"/>
  <c r="C726" i="6"/>
  <c r="C722" i="6" s="1"/>
  <c r="C729" i="6"/>
  <c r="C725" i="6" s="1"/>
  <c r="H17" i="27"/>
  <c r="C425" i="6"/>
  <c r="H45" i="27" s="1"/>
  <c r="F59" i="27"/>
  <c r="C724" i="6" l="1"/>
  <c r="H73" i="22"/>
  <c r="H84" i="22" s="1"/>
  <c r="D194" i="22" s="1"/>
  <c r="H82" i="21"/>
  <c r="H79" i="21"/>
  <c r="H80" i="21"/>
  <c r="H83" i="21"/>
  <c r="I10" i="31" s="1"/>
  <c r="H59" i="40"/>
  <c r="H27" i="27"/>
  <c r="G17" i="27" l="1"/>
  <c r="K60" i="27"/>
  <c r="F60" i="27"/>
  <c r="F61" i="27"/>
  <c r="F62" i="27"/>
  <c r="F63" i="27" l="1"/>
  <c r="K62" i="27" l="1"/>
  <c r="K61" i="27"/>
  <c r="K59" i="27"/>
  <c r="V46" i="41"/>
  <c r="X46" i="41" s="1"/>
  <c r="E148" i="6"/>
  <c r="G148" i="6" s="1"/>
  <c r="E147" i="6"/>
  <c r="G147" i="6" s="1"/>
  <c r="E146" i="6"/>
  <c r="G146" i="6" s="1"/>
  <c r="G145" i="6"/>
  <c r="K22" i="20"/>
  <c r="E61" i="20" s="1"/>
  <c r="K23" i="20"/>
  <c r="E59" i="20" s="1"/>
  <c r="E133" i="6"/>
  <c r="G133" i="6" s="1"/>
  <c r="K43" i="4" s="1"/>
  <c r="G12" i="31" s="1"/>
  <c r="E132" i="6"/>
  <c r="G132" i="6" s="1"/>
  <c r="E131" i="6"/>
  <c r="G130" i="6"/>
  <c r="G140" i="6"/>
  <c r="G143" i="6"/>
  <c r="G144" i="6"/>
  <c r="K21" i="20" s="1"/>
  <c r="E69" i="20" s="1"/>
  <c r="E167" i="6"/>
  <c r="G167" i="6" s="1"/>
  <c r="E166" i="6"/>
  <c r="E165" i="6"/>
  <c r="G165" i="6" s="1"/>
  <c r="E164" i="6"/>
  <c r="G164" i="6" s="1"/>
  <c r="E163" i="6"/>
  <c r="C163" i="6"/>
  <c r="E162" i="6"/>
  <c r="C162" i="6"/>
  <c r="E161" i="6"/>
  <c r="C161" i="6"/>
  <c r="E160" i="6"/>
  <c r="C160" i="6"/>
  <c r="E159" i="6"/>
  <c r="G159" i="6" s="1"/>
  <c r="H56" i="22"/>
  <c r="H57" i="22"/>
  <c r="H58" i="22"/>
  <c r="H59" i="22"/>
  <c r="H60" i="22"/>
  <c r="H55" i="22"/>
  <c r="I14" i="19"/>
  <c r="I15" i="19"/>
  <c r="I16" i="19"/>
  <c r="I17" i="19"/>
  <c r="I18" i="19"/>
  <c r="I19" i="19"/>
  <c r="I20" i="19"/>
  <c r="I21" i="19"/>
  <c r="I22" i="19"/>
  <c r="J82" i="4"/>
  <c r="L47" i="10"/>
  <c r="L46" i="10"/>
  <c r="L45" i="10"/>
  <c r="L44" i="10"/>
  <c r="L43" i="10"/>
  <c r="L42" i="10"/>
  <c r="L41" i="10"/>
  <c r="L40" i="10"/>
  <c r="L39" i="10"/>
  <c r="L38" i="10"/>
  <c r="J85" i="4"/>
  <c r="J86" i="4"/>
  <c r="J87" i="4"/>
  <c r="J88" i="4"/>
  <c r="J89" i="4"/>
  <c r="J90" i="4"/>
  <c r="J91" i="4"/>
  <c r="J83" i="4"/>
  <c r="J84" i="4"/>
  <c r="H58" i="20" l="1"/>
  <c r="G131" i="6"/>
  <c r="K19" i="20" s="1"/>
  <c r="K18" i="20"/>
  <c r="H61" i="22"/>
  <c r="G138" i="6"/>
  <c r="G139" i="6"/>
  <c r="K63" i="27"/>
  <c r="G137" i="6"/>
  <c r="G162" i="6"/>
  <c r="G161" i="6"/>
  <c r="G163" i="6"/>
  <c r="G160" i="6"/>
  <c r="J92" i="4"/>
  <c r="G2" i="4" s="1"/>
  <c r="L48" i="10"/>
  <c r="H77" i="37"/>
  <c r="H78" i="37"/>
  <c r="H79" i="37"/>
  <c r="H80" i="37"/>
  <c r="C175" i="6"/>
  <c r="C172" i="6"/>
  <c r="H152" i="22"/>
  <c r="H143" i="22"/>
  <c r="H144" i="22"/>
  <c r="H145" i="22"/>
  <c r="H146" i="22"/>
  <c r="H147" i="22"/>
  <c r="H148" i="22"/>
  <c r="H149" i="22"/>
  <c r="H150" i="22"/>
  <c r="H151" i="22"/>
  <c r="H141" i="22"/>
  <c r="H35" i="38"/>
  <c r="H36" i="38"/>
  <c r="H37" i="38"/>
  <c r="H38" i="38"/>
  <c r="H39" i="38"/>
  <c r="H40" i="38"/>
  <c r="H41" i="38"/>
  <c r="H42" i="38"/>
  <c r="H14" i="38"/>
  <c r="H15" i="38"/>
  <c r="H16" i="38"/>
  <c r="H17" i="38"/>
  <c r="H18" i="38"/>
  <c r="H19" i="38"/>
  <c r="H20" i="38"/>
  <c r="H21" i="38"/>
  <c r="H13" i="38"/>
  <c r="C537" i="6"/>
  <c r="C536" i="6"/>
  <c r="C487" i="6"/>
  <c r="C543" i="6" s="1"/>
  <c r="C486" i="6"/>
  <c r="C542" i="6" s="1"/>
  <c r="C485" i="6"/>
  <c r="C541" i="6" s="1"/>
  <c r="C484" i="6"/>
  <c r="C540" i="6" s="1"/>
  <c r="C483" i="6"/>
  <c r="C539" i="6" s="1"/>
  <c r="C482" i="6"/>
  <c r="C538" i="6" s="1"/>
  <c r="D193" i="22" l="1"/>
  <c r="H142" i="22"/>
  <c r="E56" i="20"/>
  <c r="H56" i="20" s="1"/>
  <c r="H81" i="37"/>
  <c r="G129" i="22"/>
  <c r="F55" i="28"/>
  <c r="G55" i="28" s="1"/>
  <c r="F56" i="28"/>
  <c r="G56" i="28" s="1"/>
  <c r="F57" i="28"/>
  <c r="G57" i="28" s="1"/>
  <c r="F58" i="28"/>
  <c r="G58" i="28" s="1"/>
  <c r="F59" i="28"/>
  <c r="G59" i="28" s="1"/>
  <c r="F60" i="28"/>
  <c r="G60" i="28" s="1"/>
  <c r="F61" i="28"/>
  <c r="G61" i="28" s="1"/>
  <c r="F62" i="28"/>
  <c r="G62" i="28" s="1"/>
  <c r="F63" i="28"/>
  <c r="G63" i="28" s="1"/>
  <c r="F64" i="28"/>
  <c r="G64" i="28" s="1"/>
  <c r="F65" i="28"/>
  <c r="G65" i="28" s="1"/>
  <c r="F66" i="28"/>
  <c r="G66" i="28" s="1"/>
  <c r="F67" i="28"/>
  <c r="G67" i="28" s="1"/>
  <c r="F54" i="28"/>
  <c r="G54" i="28" s="1"/>
  <c r="I39" i="28"/>
  <c r="K39" i="28" s="1"/>
  <c r="I40" i="28"/>
  <c r="K40" i="28" s="1"/>
  <c r="I41" i="28"/>
  <c r="K41" i="28" s="1"/>
  <c r="D195" i="22" l="1"/>
  <c r="G68" i="28"/>
  <c r="D51" i="12" l="1"/>
  <c r="C51" i="12"/>
  <c r="L52" i="12"/>
  <c r="K41" i="12"/>
  <c r="K40" i="12"/>
  <c r="D28" i="12"/>
  <c r="E28" i="12"/>
  <c r="F28" i="12"/>
  <c r="G28" i="12"/>
  <c r="H28" i="12"/>
  <c r="I28" i="12"/>
  <c r="J28" i="12"/>
  <c r="K28" i="12"/>
  <c r="K27" i="12"/>
  <c r="J27" i="12"/>
  <c r="I27" i="12"/>
  <c r="H27" i="12"/>
  <c r="G27" i="12"/>
  <c r="F27" i="12"/>
  <c r="E27" i="12"/>
  <c r="D27" i="12"/>
  <c r="D46" i="12"/>
  <c r="E46" i="12"/>
  <c r="F46" i="12"/>
  <c r="G46" i="12"/>
  <c r="H46" i="12"/>
  <c r="I46" i="12"/>
  <c r="J46" i="12"/>
  <c r="K46" i="12"/>
  <c r="D47" i="12"/>
  <c r="E47" i="12"/>
  <c r="F47" i="12"/>
  <c r="G47" i="12"/>
  <c r="H47" i="12"/>
  <c r="I47" i="12"/>
  <c r="J47" i="12"/>
  <c r="K47" i="12"/>
  <c r="D48" i="12"/>
  <c r="E48" i="12"/>
  <c r="F48" i="12"/>
  <c r="G48" i="12"/>
  <c r="H48" i="12"/>
  <c r="I48" i="12"/>
  <c r="J48" i="12"/>
  <c r="K48" i="12"/>
  <c r="D49" i="12"/>
  <c r="E49" i="12"/>
  <c r="F49" i="12"/>
  <c r="G49" i="12"/>
  <c r="H49" i="12"/>
  <c r="I49" i="12"/>
  <c r="J49" i="12"/>
  <c r="K49" i="12"/>
  <c r="D10" i="12"/>
  <c r="E10" i="12"/>
  <c r="F10" i="12"/>
  <c r="G10" i="12"/>
  <c r="H10" i="12"/>
  <c r="I10" i="12"/>
  <c r="J10" i="12"/>
  <c r="K10" i="12"/>
  <c r="D11" i="12"/>
  <c r="E11" i="12"/>
  <c r="F11" i="12"/>
  <c r="G11" i="12"/>
  <c r="H11" i="12"/>
  <c r="I11" i="12"/>
  <c r="J11" i="12"/>
  <c r="K11" i="12"/>
  <c r="D20" i="12"/>
  <c r="E20" i="12"/>
  <c r="F20" i="12"/>
  <c r="G20" i="12"/>
  <c r="H20" i="12"/>
  <c r="I20" i="12"/>
  <c r="J20" i="12"/>
  <c r="K20" i="12"/>
  <c r="D22" i="12"/>
  <c r="E22" i="12"/>
  <c r="F22" i="12"/>
  <c r="G22" i="12"/>
  <c r="H22" i="12"/>
  <c r="I22" i="12"/>
  <c r="J22" i="12"/>
  <c r="K22" i="12"/>
  <c r="D29" i="12"/>
  <c r="E29" i="12"/>
  <c r="F29" i="12"/>
  <c r="G29" i="12"/>
  <c r="H29" i="12"/>
  <c r="I29" i="12"/>
  <c r="J29" i="12"/>
  <c r="K29" i="12"/>
  <c r="D17" i="12"/>
  <c r="E17" i="12"/>
  <c r="F17" i="12"/>
  <c r="G17" i="12"/>
  <c r="H17" i="12"/>
  <c r="I17" i="12"/>
  <c r="J17" i="12"/>
  <c r="K17" i="12"/>
  <c r="D9" i="12"/>
  <c r="E9" i="12"/>
  <c r="F9" i="12"/>
  <c r="G9" i="12"/>
  <c r="H9" i="12"/>
  <c r="I9" i="12"/>
  <c r="J9" i="12"/>
  <c r="K9" i="12"/>
  <c r="D50" i="12"/>
  <c r="E50" i="12"/>
  <c r="F50" i="12"/>
  <c r="G50" i="12"/>
  <c r="H50" i="12"/>
  <c r="I50" i="12"/>
  <c r="J50" i="12"/>
  <c r="K50" i="12"/>
  <c r="D19" i="12"/>
  <c r="E19" i="12"/>
  <c r="F19" i="12"/>
  <c r="G19" i="12"/>
  <c r="H19" i="12"/>
  <c r="I19" i="12"/>
  <c r="J19" i="12"/>
  <c r="K19" i="12"/>
  <c r="D35" i="12"/>
  <c r="E35" i="12"/>
  <c r="F35" i="12"/>
  <c r="G35" i="12"/>
  <c r="H35" i="12"/>
  <c r="I35" i="12"/>
  <c r="J35" i="12"/>
  <c r="K35" i="12"/>
  <c r="D16" i="12"/>
  <c r="E16" i="12"/>
  <c r="F16" i="12"/>
  <c r="G16" i="12"/>
  <c r="H16" i="12"/>
  <c r="I16" i="12"/>
  <c r="J16" i="12"/>
  <c r="K16" i="12"/>
  <c r="D8" i="12"/>
  <c r="E8" i="12"/>
  <c r="F8" i="12"/>
  <c r="G8" i="12"/>
  <c r="H8" i="12"/>
  <c r="I8" i="12"/>
  <c r="J8" i="12"/>
  <c r="K8" i="12"/>
  <c r="K51" i="12"/>
  <c r="J51" i="12"/>
  <c r="I51" i="12"/>
  <c r="H51" i="12"/>
  <c r="G51" i="12"/>
  <c r="F51" i="12"/>
  <c r="E51" i="12"/>
  <c r="C46" i="12"/>
  <c r="C47" i="12"/>
  <c r="C48" i="12"/>
  <c r="C49" i="12"/>
  <c r="C10" i="12"/>
  <c r="C11" i="12"/>
  <c r="C20" i="12"/>
  <c r="C22" i="12"/>
  <c r="C29" i="12"/>
  <c r="C17" i="12"/>
  <c r="C9" i="12"/>
  <c r="C50" i="12"/>
  <c r="C19" i="12"/>
  <c r="C35" i="12"/>
  <c r="C16" i="12"/>
  <c r="K39" i="12" l="1"/>
  <c r="L28" i="12"/>
  <c r="L27" i="12"/>
  <c r="L8" i="12"/>
  <c r="L48" i="12"/>
  <c r="L46" i="12"/>
  <c r="L16" i="12"/>
  <c r="L35" i="12"/>
  <c r="L11" i="12"/>
  <c r="L49" i="12"/>
  <c r="L9" i="12"/>
  <c r="L29" i="12"/>
  <c r="L20" i="12"/>
  <c r="L10" i="12"/>
  <c r="L47" i="12"/>
  <c r="L19" i="12"/>
  <c r="L50" i="12"/>
  <c r="L17" i="12"/>
  <c r="L22" i="12"/>
  <c r="L51" i="12"/>
  <c r="K20" i="10" l="1"/>
  <c r="N16" i="10"/>
  <c r="N17" i="10"/>
  <c r="N18" i="10"/>
  <c r="N19" i="10"/>
  <c r="N20" i="10"/>
  <c r="N21" i="10"/>
  <c r="N22" i="10"/>
  <c r="N23" i="10"/>
  <c r="N24" i="10"/>
  <c r="N25" i="10"/>
  <c r="N26" i="10"/>
  <c r="K15" i="10"/>
  <c r="K16" i="10"/>
  <c r="K17" i="10"/>
  <c r="K18" i="10"/>
  <c r="K19" i="10"/>
  <c r="K21" i="10"/>
  <c r="K22" i="10"/>
  <c r="K23" i="10"/>
  <c r="K24" i="10"/>
  <c r="K25" i="10"/>
  <c r="K26" i="10"/>
  <c r="H16" i="10"/>
  <c r="H17" i="10"/>
  <c r="H18" i="10"/>
  <c r="H19" i="10"/>
  <c r="H20" i="10"/>
  <c r="H21" i="10"/>
  <c r="H22" i="10"/>
  <c r="H23" i="10"/>
  <c r="H24" i="10"/>
  <c r="H25" i="10"/>
  <c r="H26" i="10"/>
  <c r="F59" i="10" l="1"/>
  <c r="F67" i="10"/>
  <c r="F56" i="10"/>
  <c r="F65" i="10"/>
  <c r="F60" i="10"/>
  <c r="F68" i="10"/>
  <c r="F61" i="10"/>
  <c r="F69" i="10"/>
  <c r="F70" i="10"/>
  <c r="F71" i="10"/>
  <c r="F73" i="10"/>
  <c r="F62" i="10"/>
  <c r="F63" i="10"/>
  <c r="F64" i="10"/>
  <c r="F72" i="10"/>
  <c r="F57" i="10"/>
  <c r="F58" i="10"/>
  <c r="K13" i="31" s="1"/>
  <c r="F66" i="10"/>
  <c r="F74" i="10"/>
  <c r="O15" i="10"/>
  <c r="E22" i="29"/>
  <c r="E23" i="29"/>
  <c r="E53" i="29" s="1"/>
  <c r="E24" i="29"/>
  <c r="E54" i="29" s="1"/>
  <c r="E25" i="29"/>
  <c r="E55" i="29" s="1"/>
  <c r="E26" i="29"/>
  <c r="E56" i="29" s="1"/>
  <c r="E27" i="29"/>
  <c r="E57" i="29" s="1"/>
  <c r="E28" i="29"/>
  <c r="E58" i="29" s="1"/>
  <c r="E29" i="29"/>
  <c r="E59" i="29" s="1"/>
  <c r="E30" i="29"/>
  <c r="E60" i="29" s="1"/>
  <c r="E31" i="29"/>
  <c r="E61" i="29" s="1"/>
  <c r="E32" i="29"/>
  <c r="E62" i="29" s="1"/>
  <c r="E75" i="29" s="1"/>
  <c r="E33" i="29"/>
  <c r="E34" i="29"/>
  <c r="E35" i="29"/>
  <c r="E66" i="29" s="1"/>
  <c r="E36" i="29"/>
  <c r="E67" i="29" s="1"/>
  <c r="E37" i="29"/>
  <c r="E68" i="29" s="1"/>
  <c r="E38" i="29"/>
  <c r="E69" i="29" s="1"/>
  <c r="E39" i="29"/>
  <c r="F16" i="21"/>
  <c r="F17" i="21"/>
  <c r="F35" i="21"/>
  <c r="F36" i="21"/>
  <c r="F37" i="21"/>
  <c r="F38" i="21"/>
  <c r="F39" i="21"/>
  <c r="F40" i="21"/>
  <c r="F41" i="21"/>
  <c r="F42" i="21"/>
  <c r="F43" i="21"/>
  <c r="F44" i="21"/>
  <c r="F18" i="21"/>
  <c r="F19" i="21"/>
  <c r="F20" i="21"/>
  <c r="F21" i="21"/>
  <c r="F22" i="21"/>
  <c r="E66" i="21" s="1"/>
  <c r="E81" i="21" s="1"/>
  <c r="F23" i="21"/>
  <c r="F24" i="21"/>
  <c r="F25" i="21"/>
  <c r="F26" i="21"/>
  <c r="F27" i="21"/>
  <c r="G69" i="21" s="1"/>
  <c r="F28" i="21"/>
  <c r="F29" i="21"/>
  <c r="G71" i="21" s="1"/>
  <c r="G83" i="21" s="1"/>
  <c r="I83" i="21" s="1"/>
  <c r="F30" i="21"/>
  <c r="F31" i="21"/>
  <c r="F32" i="21"/>
  <c r="F33" i="21"/>
  <c r="F34" i="21"/>
  <c r="E65" i="29" l="1"/>
  <c r="E64" i="29"/>
  <c r="E63" i="29"/>
  <c r="E77" i="29"/>
  <c r="E73" i="29"/>
  <c r="K57" i="10"/>
  <c r="K58" i="10"/>
  <c r="K59" i="10"/>
  <c r="K60" i="10"/>
  <c r="I13" i="31" s="1"/>
  <c r="K56" i="10"/>
  <c r="E51" i="29"/>
  <c r="E52" i="29"/>
  <c r="E65" i="21"/>
  <c r="E68" i="21"/>
  <c r="G65" i="21"/>
  <c r="G68" i="21"/>
  <c r="E55" i="21"/>
  <c r="G55" i="21"/>
  <c r="G80" i="21" s="1"/>
  <c r="G66" i="21"/>
  <c r="G81" i="21" s="1"/>
  <c r="I81" i="21" s="1"/>
  <c r="E56" i="21"/>
  <c r="E40" i="29"/>
  <c r="I23" i="19"/>
  <c r="F2" i="19" s="1"/>
  <c r="G14" i="39"/>
  <c r="G15" i="39"/>
  <c r="G16" i="39"/>
  <c r="G17" i="39"/>
  <c r="G18" i="39"/>
  <c r="G19" i="39"/>
  <c r="G20" i="39"/>
  <c r="G21" i="39"/>
  <c r="G22" i="39"/>
  <c r="G23" i="39"/>
  <c r="G24" i="39"/>
  <c r="G25" i="39"/>
  <c r="G26" i="39"/>
  <c r="G27" i="39"/>
  <c r="G30" i="39"/>
  <c r="G13" i="39"/>
  <c r="E76" i="29" l="1"/>
  <c r="E74" i="29"/>
  <c r="G82" i="21"/>
  <c r="E82" i="21"/>
  <c r="E80" i="21"/>
  <c r="I80" i="21" s="1"/>
  <c r="E12" i="17"/>
  <c r="I82" i="21" l="1"/>
  <c r="D41" i="39"/>
  <c r="E41" i="39"/>
  <c r="D42" i="39"/>
  <c r="E42" i="39"/>
  <c r="D43" i="39"/>
  <c r="E43" i="39"/>
  <c r="D44" i="39"/>
  <c r="E44" i="39"/>
  <c r="D45" i="39"/>
  <c r="E45" i="39"/>
  <c r="D46" i="39"/>
  <c r="E46" i="39"/>
  <c r="D47" i="39"/>
  <c r="E47" i="39"/>
  <c r="D48" i="39"/>
  <c r="E48" i="39"/>
  <c r="D49" i="39"/>
  <c r="E49" i="39"/>
  <c r="D50" i="39"/>
  <c r="E50" i="39"/>
  <c r="C441" i="6" l="1"/>
  <c r="C530" i="6"/>
  <c r="B470" i="6"/>
  <c r="B355" i="6"/>
  <c r="H55" i="37" l="1"/>
  <c r="H50" i="37"/>
  <c r="H62" i="37"/>
  <c r="H61" i="37"/>
  <c r="H52" i="37"/>
  <c r="H60" i="37"/>
  <c r="H58" i="37"/>
  <c r="H54" i="37"/>
  <c r="H53" i="37"/>
  <c r="H59" i="37"/>
  <c r="H51" i="37"/>
  <c r="H63" i="37"/>
  <c r="H57" i="37"/>
  <c r="H56" i="37"/>
  <c r="H31" i="24"/>
  <c r="J31" i="24" s="1"/>
  <c r="H32" i="24"/>
  <c r="J32" i="24" s="1"/>
  <c r="H33" i="24"/>
  <c r="J33" i="24" s="1"/>
  <c r="H34" i="24"/>
  <c r="J34" i="24" s="1"/>
  <c r="H64" i="37" l="1"/>
  <c r="E13" i="17"/>
  <c r="E14" i="17"/>
  <c r="E15" i="17"/>
  <c r="E16" i="17"/>
  <c r="E17" i="17"/>
  <c r="E18" i="17"/>
  <c r="E19" i="17"/>
  <c r="J17" i="24" l="1"/>
  <c r="H35" i="24"/>
  <c r="H36" i="24"/>
  <c r="H37" i="24"/>
  <c r="H38" i="24"/>
  <c r="H39" i="24"/>
  <c r="H40" i="24"/>
  <c r="J56" i="4"/>
  <c r="I12" i="31" s="1"/>
  <c r="J57" i="4"/>
  <c r="J58" i="4"/>
  <c r="J59" i="4"/>
  <c r="J60" i="4"/>
  <c r="J61" i="4"/>
  <c r="J62" i="4"/>
  <c r="J63" i="4"/>
  <c r="J64" i="4"/>
  <c r="J65" i="4"/>
  <c r="J66" i="4"/>
  <c r="J67" i="4"/>
  <c r="J68" i="4"/>
  <c r="J69" i="4"/>
  <c r="J70" i="4"/>
  <c r="C15" i="31"/>
  <c r="C16" i="31"/>
  <c r="C17" i="31"/>
  <c r="C18" i="31"/>
  <c r="C19" i="31"/>
  <c r="C20" i="31"/>
  <c r="C21" i="31"/>
  <c r="C22" i="31"/>
  <c r="C5" i="31"/>
  <c r="C6" i="31"/>
  <c r="C7" i="31"/>
  <c r="C8" i="31"/>
  <c r="C9" i="31"/>
  <c r="C10" i="31"/>
  <c r="C11" i="31"/>
  <c r="C12" i="31"/>
  <c r="C13" i="31"/>
  <c r="C14" i="31"/>
  <c r="C4" i="31"/>
  <c r="D4" i="31" s="1"/>
  <c r="H37" i="40"/>
  <c r="H35" i="37"/>
  <c r="H43" i="38"/>
  <c r="H22" i="38"/>
  <c r="G6" i="31" s="1"/>
  <c r="E14" i="18"/>
  <c r="E15" i="18"/>
  <c r="E16" i="18"/>
  <c r="E17" i="18"/>
  <c r="E18" i="18"/>
  <c r="E19" i="18"/>
  <c r="F2" i="38" l="1"/>
  <c r="E6" i="31" s="1"/>
  <c r="V72" i="9" s="1"/>
  <c r="F2" i="37"/>
  <c r="E15" i="31" s="1"/>
  <c r="V81" i="9" s="1"/>
  <c r="F2" i="40"/>
  <c r="I6" i="31"/>
  <c r="D25" i="9"/>
  <c r="D70" i="9"/>
  <c r="D7" i="31"/>
  <c r="D73" i="9"/>
  <c r="D31" i="9"/>
  <c r="D17" i="31"/>
  <c r="R31" i="9"/>
  <c r="D83" i="9"/>
  <c r="D9" i="31"/>
  <c r="D35" i="9"/>
  <c r="D75" i="9"/>
  <c r="D18" i="31"/>
  <c r="D84" i="9"/>
  <c r="R33" i="9"/>
  <c r="D6" i="31"/>
  <c r="D29" i="9"/>
  <c r="D72" i="9"/>
  <c r="D13" i="31"/>
  <c r="D43" i="9"/>
  <c r="D79" i="9"/>
  <c r="D5" i="31"/>
  <c r="D27" i="9"/>
  <c r="D71" i="9"/>
  <c r="D15" i="31"/>
  <c r="R27" i="9"/>
  <c r="D81" i="9"/>
  <c r="D16" i="31"/>
  <c r="D82" i="9"/>
  <c r="R29" i="9"/>
  <c r="D12" i="31"/>
  <c r="D41" i="9"/>
  <c r="D78" i="9"/>
  <c r="D22" i="31"/>
  <c r="D88" i="9"/>
  <c r="R41" i="9"/>
  <c r="D11" i="31"/>
  <c r="D39" i="9"/>
  <c r="D77" i="9"/>
  <c r="D21" i="31"/>
  <c r="R39" i="9"/>
  <c r="D87" i="9"/>
  <c r="D19" i="31"/>
  <c r="R35" i="9"/>
  <c r="D85" i="9"/>
  <c r="D14" i="31"/>
  <c r="D80" i="9"/>
  <c r="R25" i="9"/>
  <c r="D10" i="31"/>
  <c r="D37" i="9"/>
  <c r="D76" i="9"/>
  <c r="D20" i="31"/>
  <c r="D86" i="9"/>
  <c r="R37" i="9"/>
  <c r="D8" i="31"/>
  <c r="D33" i="9"/>
  <c r="D74" i="9"/>
  <c r="H153" i="22"/>
  <c r="J183" i="22"/>
  <c r="J37" i="22"/>
  <c r="D192" i="22" s="1"/>
  <c r="V60" i="41"/>
  <c r="X60" i="41" s="1"/>
  <c r="L60" i="41"/>
  <c r="N60" i="41" s="1"/>
  <c r="E60" i="41"/>
  <c r="V59" i="41"/>
  <c r="X59" i="41" s="1"/>
  <c r="L59" i="41"/>
  <c r="N59" i="41" s="1"/>
  <c r="E59" i="41"/>
  <c r="V58" i="41"/>
  <c r="X58" i="41" s="1"/>
  <c r="L58" i="41"/>
  <c r="N58" i="41" s="1"/>
  <c r="E58" i="41"/>
  <c r="V57" i="41"/>
  <c r="X57" i="41" s="1"/>
  <c r="L57" i="41"/>
  <c r="N57" i="41" s="1"/>
  <c r="E57" i="41"/>
  <c r="V56" i="41"/>
  <c r="X56" i="41" s="1"/>
  <c r="L56" i="41"/>
  <c r="N56" i="41" s="1"/>
  <c r="E56" i="41"/>
  <c r="V55" i="41"/>
  <c r="X55" i="41" s="1"/>
  <c r="L55" i="41"/>
  <c r="N55" i="41" s="1"/>
  <c r="E55" i="41"/>
  <c r="V54" i="41"/>
  <c r="X54" i="41" s="1"/>
  <c r="L54" i="41"/>
  <c r="N54" i="41" s="1"/>
  <c r="E54" i="41"/>
  <c r="V53" i="41"/>
  <c r="X53" i="41" s="1"/>
  <c r="L53" i="41"/>
  <c r="N53" i="41" s="1"/>
  <c r="E53" i="41"/>
  <c r="V52" i="41"/>
  <c r="X52" i="41" s="1"/>
  <c r="L52" i="41"/>
  <c r="N52" i="41" s="1"/>
  <c r="E52" i="41"/>
  <c r="V51" i="41"/>
  <c r="X51" i="41" s="1"/>
  <c r="L51" i="41"/>
  <c r="N51" i="41" s="1"/>
  <c r="E51" i="41"/>
  <c r="V50" i="41"/>
  <c r="X50" i="41" s="1"/>
  <c r="L50" i="41"/>
  <c r="N50" i="41" s="1"/>
  <c r="E50" i="41"/>
  <c r="V49" i="41"/>
  <c r="X49" i="41" s="1"/>
  <c r="L49" i="41"/>
  <c r="N49" i="41" s="1"/>
  <c r="E49" i="41"/>
  <c r="V48" i="41"/>
  <c r="X48" i="41" s="1"/>
  <c r="L48" i="41"/>
  <c r="N48" i="41" s="1"/>
  <c r="E48" i="41"/>
  <c r="L47" i="41"/>
  <c r="N47" i="41" s="1"/>
  <c r="E47" i="41"/>
  <c r="L46" i="41"/>
  <c r="N46" i="41" s="1"/>
  <c r="E46" i="41"/>
  <c r="G31" i="39"/>
  <c r="E2" i="39" s="1"/>
  <c r="E40" i="39"/>
  <c r="E51" i="39"/>
  <c r="E52" i="39"/>
  <c r="E53" i="39"/>
  <c r="E54" i="39"/>
  <c r="E55" i="39"/>
  <c r="E56" i="39"/>
  <c r="E57" i="39"/>
  <c r="E58" i="39"/>
  <c r="E39" i="39"/>
  <c r="D40" i="39"/>
  <c r="D51" i="39"/>
  <c r="D52" i="39"/>
  <c r="D53" i="39"/>
  <c r="D54" i="39"/>
  <c r="D55" i="39"/>
  <c r="D56" i="39"/>
  <c r="D57" i="39"/>
  <c r="D58" i="39"/>
  <c r="D196" i="22" l="1"/>
  <c r="E16" i="31"/>
  <c r="V82" i="9" s="1"/>
  <c r="I16" i="31"/>
  <c r="G16" i="31"/>
  <c r="X61" i="41"/>
  <c r="H2" i="22"/>
  <c r="D197" i="22"/>
  <c r="E8" i="31"/>
  <c r="V74" i="9" s="1"/>
  <c r="E18" i="31"/>
  <c r="V84" i="9" s="1"/>
  <c r="E61" i="41"/>
  <c r="N61" i="41"/>
  <c r="I14" i="31" l="1"/>
  <c r="G14" i="31"/>
  <c r="K14" i="31"/>
  <c r="G8" i="31"/>
  <c r="I8" i="31"/>
  <c r="G18" i="31"/>
  <c r="O25" i="10" l="1"/>
  <c r="O23" i="10"/>
  <c r="O22" i="10"/>
  <c r="O21" i="10"/>
  <c r="O20" i="10"/>
  <c r="O17" i="10"/>
  <c r="O19" i="10"/>
  <c r="O26" i="10"/>
  <c r="O18" i="10"/>
  <c r="O24" i="10"/>
  <c r="O16" i="10"/>
  <c r="C10" i="11"/>
  <c r="C11" i="11"/>
  <c r="C12" i="11"/>
  <c r="C9" i="11"/>
  <c r="C7" i="11"/>
  <c r="C8" i="11"/>
  <c r="C6" i="11"/>
  <c r="C3" i="11"/>
  <c r="C4" i="11"/>
  <c r="C5" i="11"/>
  <c r="C2" i="11"/>
  <c r="E322" i="6"/>
  <c r="L31" i="12" l="1"/>
  <c r="K3" i="12"/>
  <c r="L3" i="12" s="1"/>
  <c r="L34" i="12"/>
  <c r="S14" i="9" l="1"/>
  <c r="O5" i="9"/>
  <c r="H13" i="14" l="1"/>
  <c r="H14" i="14"/>
  <c r="H17" i="14"/>
  <c r="H18" i="14"/>
  <c r="H19" i="14"/>
  <c r="H20" i="14"/>
  <c r="H21" i="14"/>
  <c r="H22" i="14"/>
  <c r="H23" i="14"/>
  <c r="H24" i="14"/>
  <c r="H25" i="14"/>
  <c r="H26" i="14"/>
  <c r="H27" i="14"/>
  <c r="H28" i="14"/>
  <c r="H29" i="14"/>
  <c r="H30" i="14"/>
  <c r="H31" i="14"/>
  <c r="H32" i="14"/>
  <c r="H33" i="14"/>
  <c r="H11" i="14"/>
  <c r="K32" i="12"/>
  <c r="J32" i="12"/>
  <c r="I32" i="12"/>
  <c r="E32" i="12"/>
  <c r="K33" i="12"/>
  <c r="D26" i="14"/>
  <c r="D27" i="14"/>
  <c r="D28" i="14"/>
  <c r="D29" i="14"/>
  <c r="D30" i="14"/>
  <c r="D31" i="14"/>
  <c r="D32" i="14"/>
  <c r="D33" i="14"/>
  <c r="D20" i="14"/>
  <c r="D21" i="14"/>
  <c r="D22" i="14"/>
  <c r="D23" i="14"/>
  <c r="D24" i="14"/>
  <c r="D25" i="14"/>
  <c r="I34" i="28"/>
  <c r="K34" i="28" s="1"/>
  <c r="I46" i="28" l="1"/>
  <c r="K46" i="28" s="1"/>
  <c r="I45" i="28"/>
  <c r="K45" i="28" s="1"/>
  <c r="I44" i="28"/>
  <c r="K44" i="28" s="1"/>
  <c r="I43" i="28"/>
  <c r="K43" i="28" s="1"/>
  <c r="I42" i="28"/>
  <c r="K42" i="28" s="1"/>
  <c r="I38" i="28"/>
  <c r="K38" i="28" s="1"/>
  <c r="I37" i="28"/>
  <c r="K37" i="28" s="1"/>
  <c r="I36" i="28"/>
  <c r="K36" i="28" s="1"/>
  <c r="I35" i="28"/>
  <c r="K35" i="28" s="1"/>
  <c r="F83" i="28"/>
  <c r="E83" i="28"/>
  <c r="H83" i="28" s="1"/>
  <c r="F82" i="28"/>
  <c r="E82" i="28"/>
  <c r="G82" i="28" s="1"/>
  <c r="F81" i="28"/>
  <c r="E81" i="28"/>
  <c r="G81" i="28" s="1"/>
  <c r="F80" i="28"/>
  <c r="E80" i="28"/>
  <c r="G80" i="28" s="1"/>
  <c r="F79" i="28"/>
  <c r="E79" i="28"/>
  <c r="H79" i="28" s="1"/>
  <c r="F78" i="28"/>
  <c r="E78" i="28"/>
  <c r="H78" i="28" s="1"/>
  <c r="H27" i="28"/>
  <c r="I27" i="28" s="1"/>
  <c r="H26" i="28"/>
  <c r="I26" i="28" s="1"/>
  <c r="H25" i="28"/>
  <c r="K25" i="28" s="1"/>
  <c r="H24" i="28"/>
  <c r="K24" i="28" s="1"/>
  <c r="H23" i="28"/>
  <c r="I23" i="28" s="1"/>
  <c r="H22" i="28"/>
  <c r="I22" i="28" s="1"/>
  <c r="H21" i="28"/>
  <c r="K21" i="28" s="1"/>
  <c r="H20" i="28"/>
  <c r="K20" i="28" s="1"/>
  <c r="H19" i="28"/>
  <c r="I19" i="28" s="1"/>
  <c r="H18" i="28"/>
  <c r="I18" i="28" s="1"/>
  <c r="H17" i="28"/>
  <c r="K17" i="28" s="1"/>
  <c r="H16" i="28"/>
  <c r="K16" i="28" s="1"/>
  <c r="H15" i="28"/>
  <c r="K15" i="28" s="1"/>
  <c r="H14" i="28"/>
  <c r="H21" i="27"/>
  <c r="G21" i="27"/>
  <c r="J21" i="27" s="1"/>
  <c r="H20" i="27"/>
  <c r="G20" i="27"/>
  <c r="J20" i="27" s="1"/>
  <c r="H19" i="27"/>
  <c r="G19" i="27"/>
  <c r="J19" i="27" s="1"/>
  <c r="G18" i="27"/>
  <c r="I18" i="27" s="1"/>
  <c r="J17" i="27"/>
  <c r="I39" i="27"/>
  <c r="H39" i="27"/>
  <c r="K39" i="27" s="1"/>
  <c r="I38" i="27"/>
  <c r="H38" i="27"/>
  <c r="J38" i="27" s="1"/>
  <c r="I37" i="27"/>
  <c r="H37" i="27"/>
  <c r="K37" i="27" s="1"/>
  <c r="I36" i="27"/>
  <c r="H36" i="27"/>
  <c r="K36" i="27" s="1"/>
  <c r="I35" i="27"/>
  <c r="H35" i="27"/>
  <c r="K35" i="27" s="1"/>
  <c r="I34" i="27"/>
  <c r="H34" i="27"/>
  <c r="J34" i="27" s="1"/>
  <c r="I33" i="27"/>
  <c r="H33" i="27"/>
  <c r="K33" i="27" s="1"/>
  <c r="I32" i="27"/>
  <c r="H32" i="27"/>
  <c r="K32" i="27" s="1"/>
  <c r="I31" i="27"/>
  <c r="H31" i="27"/>
  <c r="K31" i="27" s="1"/>
  <c r="I30" i="27"/>
  <c r="H30" i="27"/>
  <c r="J30" i="27" s="1"/>
  <c r="I29" i="27"/>
  <c r="H29" i="27"/>
  <c r="K29" i="27" s="1"/>
  <c r="I28" i="27"/>
  <c r="H28" i="27"/>
  <c r="K28" i="27" s="1"/>
  <c r="I27" i="27"/>
  <c r="K27" i="27"/>
  <c r="I49" i="27"/>
  <c r="H49" i="27"/>
  <c r="J49" i="27" s="1"/>
  <c r="I48" i="27"/>
  <c r="H48" i="27"/>
  <c r="K48" i="27" s="1"/>
  <c r="I47" i="27"/>
  <c r="H47" i="27"/>
  <c r="K47" i="27" s="1"/>
  <c r="I46" i="27"/>
  <c r="H46" i="27"/>
  <c r="K46" i="27" s="1"/>
  <c r="I45" i="27"/>
  <c r="J45" i="27"/>
  <c r="J40" i="24"/>
  <c r="J39" i="24"/>
  <c r="J38" i="24"/>
  <c r="J37" i="24"/>
  <c r="J36" i="24"/>
  <c r="J35" i="24"/>
  <c r="J30" i="24"/>
  <c r="J29" i="24"/>
  <c r="J28" i="24"/>
  <c r="J27" i="24"/>
  <c r="J26" i="24"/>
  <c r="J25" i="24"/>
  <c r="J24" i="24"/>
  <c r="J23" i="24"/>
  <c r="J22" i="24"/>
  <c r="J21" i="24"/>
  <c r="J20" i="24"/>
  <c r="J19" i="24"/>
  <c r="J18" i="24"/>
  <c r="J16" i="24"/>
  <c r="J15" i="24"/>
  <c r="I29" i="23"/>
  <c r="I28" i="23"/>
  <c r="I27" i="23"/>
  <c r="I26" i="23"/>
  <c r="I25" i="23"/>
  <c r="I24" i="23"/>
  <c r="K14" i="28" l="1"/>
  <c r="I14" i="28"/>
  <c r="K47" i="28"/>
  <c r="E2" i="29"/>
  <c r="K24" i="23"/>
  <c r="J24" i="23"/>
  <c r="K25" i="23"/>
  <c r="J25" i="23"/>
  <c r="K26" i="23"/>
  <c r="J26" i="23"/>
  <c r="K27" i="23"/>
  <c r="J27" i="23"/>
  <c r="K28" i="23"/>
  <c r="J28" i="23"/>
  <c r="K29" i="23"/>
  <c r="J29" i="23"/>
  <c r="J41" i="24"/>
  <c r="F2" i="24" s="1"/>
  <c r="J39" i="27"/>
  <c r="L39" i="27" s="1"/>
  <c r="J32" i="27"/>
  <c r="L32" i="27" s="1"/>
  <c r="J46" i="27"/>
  <c r="L46" i="27" s="1"/>
  <c r="J31" i="27"/>
  <c r="L31" i="27" s="1"/>
  <c r="J47" i="27"/>
  <c r="L47" i="27" s="1"/>
  <c r="I17" i="27"/>
  <c r="K17" i="27" s="1"/>
  <c r="K18" i="28"/>
  <c r="H80" i="28"/>
  <c r="I80" i="28" s="1"/>
  <c r="K22" i="28"/>
  <c r="H82" i="28"/>
  <c r="I82" i="28" s="1"/>
  <c r="K26" i="28"/>
  <c r="H81" i="28"/>
  <c r="I81" i="28" s="1"/>
  <c r="I15" i="28"/>
  <c r="I20" i="28"/>
  <c r="I24" i="28"/>
  <c r="G78" i="28"/>
  <c r="I78" i="28" s="1"/>
  <c r="I16" i="28"/>
  <c r="K19" i="28"/>
  <c r="K23" i="28"/>
  <c r="K27" i="28"/>
  <c r="I40" i="27"/>
  <c r="J28" i="27"/>
  <c r="L28" i="27" s="1"/>
  <c r="J36" i="27"/>
  <c r="L36" i="27" s="1"/>
  <c r="I20" i="27"/>
  <c r="K20" i="27" s="1"/>
  <c r="J27" i="27"/>
  <c r="L27" i="27" s="1"/>
  <c r="J35" i="27"/>
  <c r="L35" i="27" s="1"/>
  <c r="I19" i="27"/>
  <c r="K19" i="27" s="1"/>
  <c r="K45" i="27"/>
  <c r="K49" i="27"/>
  <c r="L49" i="27" s="1"/>
  <c r="K30" i="27"/>
  <c r="L30" i="27" s="1"/>
  <c r="K34" i="27"/>
  <c r="K38" i="27"/>
  <c r="L38" i="27" s="1"/>
  <c r="J18" i="27"/>
  <c r="K18" i="27" s="1"/>
  <c r="I50" i="27"/>
  <c r="I17" i="28"/>
  <c r="I21" i="28"/>
  <c r="I25" i="28"/>
  <c r="F84" i="28"/>
  <c r="G79" i="28"/>
  <c r="I79" i="28" s="1"/>
  <c r="G83" i="28"/>
  <c r="I83" i="28" s="1"/>
  <c r="H22" i="27"/>
  <c r="J48" i="27"/>
  <c r="L48" i="27" s="1"/>
  <c r="J29" i="27"/>
  <c r="L29" i="27" s="1"/>
  <c r="J33" i="27"/>
  <c r="L33" i="27" s="1"/>
  <c r="J37" i="27"/>
  <c r="L37" i="27" s="1"/>
  <c r="I21" i="27"/>
  <c r="K21" i="27" s="1"/>
  <c r="E21" i="18"/>
  <c r="E20" i="18"/>
  <c r="E13" i="18"/>
  <c r="E11" i="31" l="1"/>
  <c r="E22" i="18"/>
  <c r="F45" i="21"/>
  <c r="E2" i="21" s="1"/>
  <c r="H84" i="28"/>
  <c r="J22" i="27"/>
  <c r="K40" i="27"/>
  <c r="K28" i="28"/>
  <c r="L34" i="27"/>
  <c r="K50" i="27"/>
  <c r="L45" i="27"/>
  <c r="G84" i="28"/>
  <c r="I28" i="28"/>
  <c r="J40" i="27"/>
  <c r="J50" i="27"/>
  <c r="I22" i="27"/>
  <c r="C53" i="17"/>
  <c r="D53" i="17" s="1"/>
  <c r="D30" i="17" s="1"/>
  <c r="C52" i="17"/>
  <c r="D52" i="17" s="1"/>
  <c r="C51" i="17"/>
  <c r="D51" i="17" s="1"/>
  <c r="C50" i="17"/>
  <c r="D50" i="17" s="1"/>
  <c r="C49" i="17"/>
  <c r="D49" i="17" s="1"/>
  <c r="C48" i="17"/>
  <c r="D48" i="17" s="1"/>
  <c r="C47" i="17"/>
  <c r="D47" i="17" s="1"/>
  <c r="C46" i="17"/>
  <c r="D46" i="17" s="1"/>
  <c r="C45" i="17"/>
  <c r="D45" i="17" s="1"/>
  <c r="C44" i="17"/>
  <c r="C43" i="17"/>
  <c r="E34" i="17"/>
  <c r="C42" i="17"/>
  <c r="D42" i="17" s="1"/>
  <c r="E33" i="17"/>
  <c r="C41" i="17"/>
  <c r="E32" i="17"/>
  <c r="C40" i="17"/>
  <c r="D40" i="17" s="1"/>
  <c r="C39" i="17"/>
  <c r="D39" i="17" s="1"/>
  <c r="D31" i="17" s="1"/>
  <c r="E21" i="17"/>
  <c r="E20" i="17"/>
  <c r="E30" i="17"/>
  <c r="I12" i="17"/>
  <c r="I4" i="31" s="1"/>
  <c r="D33" i="17" l="1"/>
  <c r="F2" i="18"/>
  <c r="E5" i="31" s="1"/>
  <c r="E19" i="31"/>
  <c r="V85" i="9" s="1"/>
  <c r="E10" i="31"/>
  <c r="G11" i="31"/>
  <c r="V77" i="9"/>
  <c r="Z77" i="9" s="1"/>
  <c r="I84" i="28"/>
  <c r="E14" i="31"/>
  <c r="V80" i="9" s="1"/>
  <c r="E31" i="17"/>
  <c r="E22" i="17"/>
  <c r="L40" i="27"/>
  <c r="K22" i="27"/>
  <c r="L50" i="27"/>
  <c r="I79" i="21"/>
  <c r="L23" i="12"/>
  <c r="L15" i="12"/>
  <c r="L5" i="12"/>
  <c r="J33" i="12"/>
  <c r="I33" i="12"/>
  <c r="K18" i="12"/>
  <c r="L18" i="12" s="1"/>
  <c r="K30" i="12"/>
  <c r="H15" i="14" s="1"/>
  <c r="K24" i="12"/>
  <c r="K26" i="12"/>
  <c r="K25" i="12"/>
  <c r="K14" i="12"/>
  <c r="K6" i="12"/>
  <c r="K13" i="12"/>
  <c r="L13" i="12" s="1"/>
  <c r="E33" i="12"/>
  <c r="F33" i="12"/>
  <c r="G33" i="12"/>
  <c r="H33" i="12"/>
  <c r="D33" i="12"/>
  <c r="F32" i="12"/>
  <c r="G32" i="12"/>
  <c r="H32" i="12"/>
  <c r="D32" i="12"/>
  <c r="V76" i="9" l="1"/>
  <c r="Z76" i="9" s="1"/>
  <c r="G10" i="31"/>
  <c r="V71" i="9"/>
  <c r="G5" i="31"/>
  <c r="E2" i="17"/>
  <c r="E4" i="31" s="1"/>
  <c r="H2" i="27"/>
  <c r="E21" i="31" s="1"/>
  <c r="V87" i="9" s="1"/>
  <c r="G19" i="31"/>
  <c r="L32" i="12"/>
  <c r="L33" i="12"/>
  <c r="L40" i="12" l="1"/>
  <c r="L41" i="12"/>
  <c r="L45" i="12"/>
  <c r="K45" i="12"/>
  <c r="L44" i="12"/>
  <c r="K44" i="12"/>
  <c r="L43" i="12"/>
  <c r="K43" i="12"/>
  <c r="L42" i="12"/>
  <c r="K42" i="12"/>
  <c r="J30" i="12"/>
  <c r="I30" i="12"/>
  <c r="H30" i="12"/>
  <c r="L30" i="12" s="1"/>
  <c r="G30" i="12"/>
  <c r="F30" i="12"/>
  <c r="E30" i="12"/>
  <c r="D30" i="12"/>
  <c r="K7" i="12"/>
  <c r="J7" i="12"/>
  <c r="I7" i="12"/>
  <c r="H7" i="12"/>
  <c r="G7" i="12"/>
  <c r="F7" i="12"/>
  <c r="E7" i="12"/>
  <c r="D7" i="12"/>
  <c r="K54" i="12"/>
  <c r="H16" i="14" s="1"/>
  <c r="J54" i="12"/>
  <c r="I54" i="12"/>
  <c r="H54" i="12"/>
  <c r="G54" i="12"/>
  <c r="F54" i="12"/>
  <c r="E54" i="12"/>
  <c r="D54" i="12"/>
  <c r="K4" i="12"/>
  <c r="H12" i="14" s="1"/>
  <c r="H34" i="14" s="1"/>
  <c r="J4" i="12"/>
  <c r="I4" i="12"/>
  <c r="H4" i="12"/>
  <c r="G4" i="12"/>
  <c r="F4" i="12"/>
  <c r="E4" i="12"/>
  <c r="D4" i="12"/>
  <c r="H21" i="12"/>
  <c r="K53" i="12"/>
  <c r="L53" i="12" s="1"/>
  <c r="K12" i="12"/>
  <c r="L12" i="12" s="1"/>
  <c r="K36" i="12"/>
  <c r="J36" i="12"/>
  <c r="I36" i="12"/>
  <c r="H36" i="12"/>
  <c r="G36" i="12"/>
  <c r="F36" i="12"/>
  <c r="E36" i="12"/>
  <c r="D36" i="12"/>
  <c r="K38" i="12"/>
  <c r="J38" i="12"/>
  <c r="I38" i="12"/>
  <c r="H38" i="12"/>
  <c r="G38" i="12"/>
  <c r="F38" i="12"/>
  <c r="E38" i="12"/>
  <c r="D38" i="12"/>
  <c r="J24" i="12"/>
  <c r="I24" i="12"/>
  <c r="H24" i="12"/>
  <c r="L24" i="12" s="1"/>
  <c r="G24" i="12"/>
  <c r="F24" i="12"/>
  <c r="E24" i="12"/>
  <c r="D24" i="12"/>
  <c r="J26" i="12"/>
  <c r="I26" i="12"/>
  <c r="H26" i="12"/>
  <c r="L26" i="12" s="1"/>
  <c r="G26" i="12"/>
  <c r="F26" i="12"/>
  <c r="E26" i="12"/>
  <c r="D26" i="12"/>
  <c r="J25" i="12"/>
  <c r="I25" i="12"/>
  <c r="H25" i="12"/>
  <c r="L25" i="12" s="1"/>
  <c r="G25" i="12"/>
  <c r="F25" i="12"/>
  <c r="E25" i="12"/>
  <c r="D25" i="12"/>
  <c r="J14" i="12"/>
  <c r="I14" i="12"/>
  <c r="H14" i="12"/>
  <c r="L14" i="12" s="1"/>
  <c r="G14" i="12"/>
  <c r="F14" i="12"/>
  <c r="E14" i="12"/>
  <c r="D14" i="12"/>
  <c r="K37" i="12"/>
  <c r="J6" i="12"/>
  <c r="I6" i="12"/>
  <c r="H6" i="12"/>
  <c r="L6" i="12" s="1"/>
  <c r="G6" i="12"/>
  <c r="F6" i="12"/>
  <c r="E6" i="12"/>
  <c r="D6" i="12"/>
  <c r="C379" i="6"/>
  <c r="E349" i="6"/>
  <c r="F349" i="6" s="1"/>
  <c r="D349" i="6"/>
  <c r="E348" i="6"/>
  <c r="F348" i="6" s="1"/>
  <c r="D348" i="6"/>
  <c r="E347" i="6"/>
  <c r="F347" i="6" s="1"/>
  <c r="D347" i="6"/>
  <c r="E346" i="6"/>
  <c r="F346" i="6" s="1"/>
  <c r="D346" i="6"/>
  <c r="E345" i="6"/>
  <c r="F345" i="6" s="1"/>
  <c r="D345" i="6"/>
  <c r="E344" i="6"/>
  <c r="F344" i="6" s="1"/>
  <c r="D344" i="6"/>
  <c r="E343" i="6"/>
  <c r="F343" i="6" s="1"/>
  <c r="D343" i="6"/>
  <c r="E342" i="6"/>
  <c r="F342" i="6" s="1"/>
  <c r="D342" i="6"/>
  <c r="E341" i="6"/>
  <c r="F341" i="6" s="1"/>
  <c r="D341" i="6"/>
  <c r="E340" i="6"/>
  <c r="F340" i="6" s="1"/>
  <c r="D340" i="6"/>
  <c r="E339" i="6"/>
  <c r="F339" i="6" s="1"/>
  <c r="D339" i="6"/>
  <c r="E338" i="6"/>
  <c r="F338" i="6" s="1"/>
  <c r="D338" i="6"/>
  <c r="E337" i="6"/>
  <c r="F337" i="6" s="1"/>
  <c r="D337" i="6"/>
  <c r="E336" i="6"/>
  <c r="F336" i="6" s="1"/>
  <c r="D336" i="6"/>
  <c r="E335" i="6"/>
  <c r="F335" i="6" s="1"/>
  <c r="D335" i="6"/>
  <c r="E334" i="6"/>
  <c r="F334" i="6" s="1"/>
  <c r="D334" i="6"/>
  <c r="E333" i="6"/>
  <c r="F333" i="6" s="1"/>
  <c r="D333" i="6"/>
  <c r="E332" i="6"/>
  <c r="F332" i="6" s="1"/>
  <c r="D332" i="6"/>
  <c r="E331" i="6"/>
  <c r="F331" i="6" s="1"/>
  <c r="D331" i="6"/>
  <c r="E330" i="6"/>
  <c r="F330" i="6" s="1"/>
  <c r="D330" i="6"/>
  <c r="E329" i="6"/>
  <c r="F329" i="6" s="1"/>
  <c r="D329" i="6"/>
  <c r="E328" i="6"/>
  <c r="F328" i="6" s="1"/>
  <c r="D328" i="6"/>
  <c r="E327" i="6"/>
  <c r="F327" i="6" s="1"/>
  <c r="D327" i="6"/>
  <c r="E326" i="6"/>
  <c r="F326" i="6" s="1"/>
  <c r="D326" i="6"/>
  <c r="E325" i="6"/>
  <c r="F325" i="6" s="1"/>
  <c r="D325" i="6"/>
  <c r="E324" i="6"/>
  <c r="F324" i="6" s="1"/>
  <c r="D324" i="6"/>
  <c r="E323" i="6"/>
  <c r="F323" i="6" s="1"/>
  <c r="D323" i="6"/>
  <c r="F322" i="6"/>
  <c r="D322" i="6"/>
  <c r="E321" i="6"/>
  <c r="F321" i="6" s="1"/>
  <c r="D321" i="6"/>
  <c r="E320" i="6"/>
  <c r="F320" i="6" s="1"/>
  <c r="D320" i="6"/>
  <c r="E319" i="6"/>
  <c r="F319" i="6" s="1"/>
  <c r="D319" i="6"/>
  <c r="E318" i="6"/>
  <c r="F318" i="6" s="1"/>
  <c r="D318" i="6"/>
  <c r="E317" i="6"/>
  <c r="F317" i="6" s="1"/>
  <c r="D317" i="6"/>
  <c r="E316" i="6"/>
  <c r="F316" i="6" s="1"/>
  <c r="D316" i="6"/>
  <c r="E315" i="6"/>
  <c r="F315" i="6" s="1"/>
  <c r="D315" i="6"/>
  <c r="E314" i="6"/>
  <c r="F314" i="6" s="1"/>
  <c r="D314" i="6"/>
  <c r="E313" i="6"/>
  <c r="F313" i="6" s="1"/>
  <c r="D313" i="6"/>
  <c r="C302" i="6"/>
  <c r="F233" i="6" s="1"/>
  <c r="F235" i="6"/>
  <c r="F230" i="6"/>
  <c r="F229" i="6"/>
  <c r="F228" i="6"/>
  <c r="F227" i="6"/>
  <c r="F226" i="6"/>
  <c r="F225" i="6"/>
  <c r="F224" i="6"/>
  <c r="F223" i="6"/>
  <c r="F222" i="6"/>
  <c r="F221" i="6"/>
  <c r="F220" i="6"/>
  <c r="F219" i="6"/>
  <c r="F218" i="6"/>
  <c r="F217" i="6"/>
  <c r="I13" i="23" s="1"/>
  <c r="J13" i="23" s="1"/>
  <c r="F216" i="6"/>
  <c r="F215" i="6"/>
  <c r="F214" i="6"/>
  <c r="C214" i="6"/>
  <c r="F213" i="6"/>
  <c r="C213" i="6"/>
  <c r="F212" i="6"/>
  <c r="C212" i="6"/>
  <c r="F211" i="6"/>
  <c r="I14" i="23" s="1"/>
  <c r="J14" i="23" s="1"/>
  <c r="C211" i="6"/>
  <c r="F210" i="6"/>
  <c r="I21" i="23" s="1"/>
  <c r="F209" i="6"/>
  <c r="F208" i="6"/>
  <c r="F207" i="6"/>
  <c r="F206" i="6"/>
  <c r="F205" i="6"/>
  <c r="F204" i="6"/>
  <c r="F203" i="6"/>
  <c r="F202" i="6"/>
  <c r="C202" i="6"/>
  <c r="F201" i="6"/>
  <c r="C201" i="6"/>
  <c r="F200" i="6"/>
  <c r="C200" i="6"/>
  <c r="F199" i="6"/>
  <c r="C199" i="6"/>
  <c r="F197" i="6"/>
  <c r="F196" i="6"/>
  <c r="F195" i="6"/>
  <c r="I20" i="23" s="1"/>
  <c r="F194" i="6"/>
  <c r="F193" i="6"/>
  <c r="C119" i="6"/>
  <c r="C118" i="6"/>
  <c r="K24" i="20" s="1"/>
  <c r="C26" i="6"/>
  <c r="D41" i="17" s="1"/>
  <c r="C25" i="6"/>
  <c r="D44" i="17" s="1"/>
  <c r="D34" i="17" s="1"/>
  <c r="C24" i="6"/>
  <c r="D43" i="17" s="1"/>
  <c r="C22" i="6"/>
  <c r="M18" i="9"/>
  <c r="M16" i="9"/>
  <c r="M14" i="9"/>
  <c r="V69" i="9"/>
  <c r="R69" i="9"/>
  <c r="F44" i="14" l="1"/>
  <c r="F42" i="14"/>
  <c r="F48" i="14"/>
  <c r="H15" i="41"/>
  <c r="H16" i="41"/>
  <c r="F50" i="14"/>
  <c r="K21" i="23"/>
  <c r="J21" i="23"/>
  <c r="K14" i="23"/>
  <c r="K20" i="23"/>
  <c r="J20" i="23"/>
  <c r="G4" i="31"/>
  <c r="D32" i="17"/>
  <c r="K4" i="31" s="1"/>
  <c r="I16" i="23"/>
  <c r="I23" i="23"/>
  <c r="E64" i="20"/>
  <c r="K39" i="20"/>
  <c r="I19" i="23"/>
  <c r="J19" i="23" s="1"/>
  <c r="I18" i="23"/>
  <c r="J18" i="23" s="1"/>
  <c r="I15" i="23"/>
  <c r="I22" i="23"/>
  <c r="K13" i="23"/>
  <c r="H27" i="41"/>
  <c r="I27" i="41" s="1"/>
  <c r="H23" i="41"/>
  <c r="I23" i="41" s="1"/>
  <c r="H19" i="41"/>
  <c r="I19" i="41" s="1"/>
  <c r="I15" i="41"/>
  <c r="H25" i="41"/>
  <c r="I25" i="41" s="1"/>
  <c r="H21" i="41"/>
  <c r="I21" i="41" s="1"/>
  <c r="H17" i="41"/>
  <c r="I17" i="41" s="1"/>
  <c r="H26" i="41"/>
  <c r="I26" i="41" s="1"/>
  <c r="H29" i="41"/>
  <c r="I29" i="41" s="1"/>
  <c r="H24" i="41"/>
  <c r="I24" i="41" s="1"/>
  <c r="H20" i="41"/>
  <c r="I20" i="41" s="1"/>
  <c r="I16" i="41"/>
  <c r="H22" i="41"/>
  <c r="I22" i="41" s="1"/>
  <c r="H18" i="41"/>
  <c r="I18" i="41" s="1"/>
  <c r="H28" i="41"/>
  <c r="I28" i="41" s="1"/>
  <c r="C386" i="6"/>
  <c r="O27" i="10"/>
  <c r="I2" i="10" s="1"/>
  <c r="C361" i="6"/>
  <c r="C363" i="6"/>
  <c r="C362" i="6"/>
  <c r="L38" i="12"/>
  <c r="L36" i="12"/>
  <c r="L4" i="12"/>
  <c r="L54" i="12"/>
  <c r="L39" i="12" s="1"/>
  <c r="L7" i="12"/>
  <c r="F37" i="12"/>
  <c r="G37" i="12"/>
  <c r="I37" i="12"/>
  <c r="J37" i="12"/>
  <c r="D37" i="12"/>
  <c r="E37" i="12"/>
  <c r="K21" i="12"/>
  <c r="L21" i="12" s="1"/>
  <c r="H37" i="12"/>
  <c r="L37" i="12" s="1"/>
  <c r="F234" i="6"/>
  <c r="F231" i="6"/>
  <c r="F232" i="6"/>
  <c r="I17" i="23" s="1"/>
  <c r="V70" i="9"/>
  <c r="Z70" i="9" s="1"/>
  <c r="Z80" i="9"/>
  <c r="Z85" i="9"/>
  <c r="Z72" i="9"/>
  <c r="K18" i="23" l="1"/>
  <c r="F46" i="14"/>
  <c r="G2" i="20"/>
  <c r="E9" i="31" s="1"/>
  <c r="V75" i="9" s="1"/>
  <c r="Z75" i="9" s="1"/>
  <c r="I9" i="31"/>
  <c r="G9" i="31"/>
  <c r="H59" i="20"/>
  <c r="K9" i="31"/>
  <c r="J15" i="23"/>
  <c r="K15" i="23"/>
  <c r="K19" i="23"/>
  <c r="K17" i="23"/>
  <c r="J17" i="23"/>
  <c r="K16" i="23"/>
  <c r="J16" i="23"/>
  <c r="K23" i="23"/>
  <c r="J23" i="23"/>
  <c r="J22" i="23"/>
  <c r="K22" i="23"/>
  <c r="C371" i="6"/>
  <c r="G386" i="6"/>
  <c r="F52" i="14"/>
  <c r="E13" i="31"/>
  <c r="V79" i="9" s="1"/>
  <c r="Z79" i="9" s="1"/>
  <c r="I30" i="41"/>
  <c r="E12" i="31"/>
  <c r="C364" i="6"/>
  <c r="Z71" i="9"/>
  <c r="Z82" i="9"/>
  <c r="Z74" i="9"/>
  <c r="K30" i="23" l="1"/>
  <c r="G2" i="23" s="1"/>
  <c r="E7" i="31" s="1"/>
  <c r="V73" i="9" s="1"/>
  <c r="Z73" i="9" s="1"/>
  <c r="E2" i="14"/>
  <c r="E17" i="31" s="1"/>
  <c r="V83" i="9" s="1"/>
  <c r="G17" i="31"/>
  <c r="V78" i="9"/>
  <c r="Z78" i="9" s="1"/>
  <c r="G13" i="31"/>
  <c r="J25" i="41"/>
  <c r="J27" i="41"/>
  <c r="J21" i="41"/>
  <c r="J28" i="41"/>
  <c r="J23" i="41"/>
  <c r="J17" i="41"/>
  <c r="J20" i="41"/>
  <c r="J22" i="41"/>
  <c r="J16" i="41"/>
  <c r="J18" i="41"/>
  <c r="J15" i="41"/>
  <c r="J26" i="41"/>
  <c r="J19" i="41"/>
  <c r="J29" i="41"/>
  <c r="J24" i="41"/>
  <c r="J24" i="28"/>
  <c r="L24" i="28" s="1"/>
  <c r="J20" i="28"/>
  <c r="L20" i="28" s="1"/>
  <c r="J16" i="28"/>
  <c r="L16" i="28" s="1"/>
  <c r="J15" i="28"/>
  <c r="L15" i="28" s="1"/>
  <c r="J27" i="28"/>
  <c r="L27" i="28" s="1"/>
  <c r="J23" i="28"/>
  <c r="L23" i="28" s="1"/>
  <c r="J19" i="28"/>
  <c r="L19" i="28" s="1"/>
  <c r="J14" i="28"/>
  <c r="J26" i="28"/>
  <c r="L26" i="28" s="1"/>
  <c r="J22" i="28"/>
  <c r="L22" i="28" s="1"/>
  <c r="J18" i="28"/>
  <c r="L18" i="28" s="1"/>
  <c r="J25" i="28"/>
  <c r="L25" i="28" s="1"/>
  <c r="J21" i="28"/>
  <c r="L21" i="28" s="1"/>
  <c r="J17" i="28"/>
  <c r="L17" i="28" s="1"/>
  <c r="Z87" i="9"/>
  <c r="G7" i="31" l="1"/>
  <c r="J30" i="41"/>
  <c r="M2" i="41" s="1"/>
  <c r="J28" i="28"/>
  <c r="L28" i="28" s="1"/>
  <c r="L14" i="28"/>
  <c r="Z83" i="9"/>
  <c r="E20" i="31" l="1"/>
  <c r="G20" i="31"/>
  <c r="G22" i="31"/>
  <c r="H2" i="28"/>
  <c r="E22" i="31" s="1"/>
  <c r="V88" i="9" s="1"/>
  <c r="Z81" i="9"/>
  <c r="E23" i="31" l="1"/>
  <c r="V86" i="9"/>
  <c r="Z86" i="9" s="1"/>
  <c r="Z88" i="9"/>
  <c r="Z84" i="9"/>
  <c r="E25" i="31" l="1"/>
  <c r="P58" i="9" s="1"/>
  <c r="V89" i="9"/>
  <c r="Z89" i="9" s="1"/>
  <c r="F22" i="31"/>
  <c r="F5" i="31"/>
  <c r="F8" i="31"/>
  <c r="F17" i="31"/>
  <c r="F7" i="31"/>
  <c r="F21" i="31"/>
  <c r="F18" i="31"/>
  <c r="F11" i="31"/>
  <c r="F16" i="31"/>
  <c r="F12" i="31"/>
  <c r="F15" i="31"/>
  <c r="F10" i="31"/>
  <c r="F19" i="31"/>
  <c r="F9" i="31"/>
  <c r="F14" i="31"/>
  <c r="F20" i="31"/>
  <c r="F13" i="31"/>
  <c r="F4" i="31"/>
  <c r="F6" i="31"/>
  <c r="T48" i="9"/>
  <c r="P60"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<sst xmlns="http://schemas.openxmlformats.org/spreadsheetml/2006/main" count="9054" uniqueCount="4077">
  <si>
    <t>Bienvenue dans l'outil de
comptabilisation carbone simplifié des activités culturelles</t>
  </si>
  <si>
    <t>Outil mis à disposition par la Métropole de Lyon</t>
  </si>
  <si>
    <t>Cet outil est mis à disposition par la Direction de la Culture de la Métropole de Lyon, afin de proposer aux acteurs culturels d’avoir une vision « grosse maille » de leurs impacts carbone et ainsi d’identifier les marges de progression et leviers d’action prioritaires.</t>
  </si>
  <si>
    <t> </t>
  </si>
  <si>
    <t>Ce type de démarche pouvant sembler fastidieuse et chronophage pour une structure encore « novice », ou n’ayant pas les ressources suffisantes en interne pour la mener à bien, plusieurs niveaux d’utilisation sont proposés :</t>
  </si>
  <si>
    <t>Déplacements des salariés</t>
  </si>
  <si>
    <t>Déplacements des visiteurs</t>
  </si>
  <si>
    <t>Climatisation</t>
  </si>
  <si>
    <t>Equipements informatiques</t>
  </si>
  <si>
    <t>Communication papier</t>
  </si>
  <si>
    <t>Déchets</t>
  </si>
  <si>
    <t>Communication digitale</t>
  </si>
  <si>
    <t>Tournées artistiques</t>
  </si>
  <si>
    <t>Billetterie</t>
  </si>
  <si>
    <t>Artistes invité.e.s</t>
  </si>
  <si>
    <t>Structure</t>
  </si>
  <si>
    <t>Année de référence</t>
  </si>
  <si>
    <t>Année de reporting</t>
  </si>
  <si>
    <t>Nombre d'intermittents</t>
  </si>
  <si>
    <t>m²</t>
  </si>
  <si>
    <t>Fréquentation annuelle</t>
  </si>
  <si>
    <t>€</t>
  </si>
  <si>
    <t>Présentation de l'activité</t>
  </si>
  <si>
    <t>Emissions
tCO2e</t>
  </si>
  <si>
    <t>Indicateur 1</t>
  </si>
  <si>
    <t>Unité indicateur 1</t>
  </si>
  <si>
    <t>Indicateur 2</t>
  </si>
  <si>
    <t>Unité 2</t>
  </si>
  <si>
    <t>Indicateur 3</t>
  </si>
  <si>
    <t>Unité 3</t>
  </si>
  <si>
    <t>kgCO2e/kWh</t>
  </si>
  <si>
    <t>kgCO2e/m3</t>
  </si>
  <si>
    <t>% de dépendance aux énergies fossiles</t>
  </si>
  <si>
    <t>kgCO2e/m²</t>
  </si>
  <si>
    <t>kgCO2e/kg de fluide</t>
  </si>
  <si>
    <t>kgCO2e/K€</t>
  </si>
  <si>
    <t>kgCO2e/km</t>
  </si>
  <si>
    <t>kgCO2e/unité</t>
  </si>
  <si>
    <t>kgCO2e/tonne</t>
  </si>
  <si>
    <t>Emissions totales par salarié</t>
  </si>
  <si>
    <t>kgCO2e/salarié</t>
  </si>
  <si>
    <t>Energie consommée</t>
  </si>
  <si>
    <t>Eau potable consommée, sur le réseau</t>
  </si>
  <si>
    <t>Type d'énergie - unité</t>
  </si>
  <si>
    <t>Quantité</t>
  </si>
  <si>
    <t>Quantité (m3)</t>
  </si>
  <si>
    <t>Analyse</t>
  </si>
  <si>
    <t>Energie</t>
  </si>
  <si>
    <t>kWh</t>
  </si>
  <si>
    <t>Electricité - kWh</t>
  </si>
  <si>
    <t>Electricité</t>
  </si>
  <si>
    <t>Gaz naturel - kWh</t>
  </si>
  <si>
    <t>Gaz naturel</t>
  </si>
  <si>
    <t>Granulé bois - kWh</t>
  </si>
  <si>
    <t>Bois</t>
  </si>
  <si>
    <t>Granulé bois - tonnes</t>
  </si>
  <si>
    <t>Réseaux de chaleur</t>
  </si>
  <si>
    <t>Plaquettes forestières - kWh</t>
  </si>
  <si>
    <t>Produits pétroliers</t>
  </si>
  <si>
    <t>Plaquettes forestières - tonnes</t>
  </si>
  <si>
    <t>Fioul - litres</t>
  </si>
  <si>
    <t>Fioul - kWh</t>
  </si>
  <si>
    <t>Butane - kWh</t>
  </si>
  <si>
    <t>Propane - kWh</t>
  </si>
  <si>
    <t>Réseau de chaleur - Vaulx en Velin - kWh</t>
  </si>
  <si>
    <t>Réseau de chaleur - La Duchère - kWh</t>
  </si>
  <si>
    <t>Réseau de chaleur - Centre Métropole - kWh</t>
  </si>
  <si>
    <t>Réseau de chaleur - Rillieux - kWh</t>
  </si>
  <si>
    <t>Réseau de chaleur - Vénissieux - kWh</t>
  </si>
  <si>
    <t>Electricité photovoltaïque - kWh</t>
  </si>
  <si>
    <t>Type de gaz fluoré</t>
  </si>
  <si>
    <t>Quantité rechargée (kg)</t>
  </si>
  <si>
    <t>Type de véhicules</t>
  </si>
  <si>
    <t>Voiture</t>
  </si>
  <si>
    <t>Utilitaire</t>
  </si>
  <si>
    <t>2 roues</t>
  </si>
  <si>
    <t>Mini-bus</t>
  </si>
  <si>
    <t>Bus</t>
  </si>
  <si>
    <t>Camion</t>
  </si>
  <si>
    <t>Carburant - unité</t>
  </si>
  <si>
    <t>Emissions totales
tCO2e</t>
  </si>
  <si>
    <t>Type de véhicule</t>
  </si>
  <si>
    <t>Nombre de km parcourus annuellement</t>
  </si>
  <si>
    <t>Emissions liées à la fabrication
tCO2e</t>
  </si>
  <si>
    <t>Nombre</t>
  </si>
  <si>
    <t>Vélo à assistance électrique</t>
  </si>
  <si>
    <t>Vélo</t>
  </si>
  <si>
    <t>Trottinette</t>
  </si>
  <si>
    <t>Trottinette électrique</t>
  </si>
  <si>
    <t>Mode de transport</t>
  </si>
  <si>
    <t>Nombre de km parcourus</t>
  </si>
  <si>
    <t>TER</t>
  </si>
  <si>
    <t>Train</t>
  </si>
  <si>
    <t>Transport collectif</t>
  </si>
  <si>
    <t>Deux roues</t>
  </si>
  <si>
    <t>Avion</t>
  </si>
  <si>
    <t>Reconditionné</t>
  </si>
  <si>
    <t>Durées d'amortissement - par défaut
(modifiable)</t>
  </si>
  <si>
    <t>Type d'équipement</t>
  </si>
  <si>
    <t>Années</t>
  </si>
  <si>
    <t>tCO2e retirée</t>
  </si>
  <si>
    <t>Ordinateurs portables</t>
  </si>
  <si>
    <t>Tablettes</t>
  </si>
  <si>
    <t>Téléphones mobiles</t>
  </si>
  <si>
    <t>Téléphones fixes</t>
  </si>
  <si>
    <t>Serveurs</t>
  </si>
  <si>
    <t>Vidéoprojecteurs</t>
  </si>
  <si>
    <t>Méthode 1 : la plus fiable</t>
  </si>
  <si>
    <t>Méthode 2 par défaut : estimation à partir de la contenance des bacs</t>
  </si>
  <si>
    <t>Type de déchet et filière de traitement</t>
  </si>
  <si>
    <t>Quantité (tonnes)</t>
  </si>
  <si>
    <t>Nombre de bacs</t>
  </si>
  <si>
    <t>Nombre d'enlèvements par an</t>
  </si>
  <si>
    <t>Densité moyenne par type de déchets</t>
  </si>
  <si>
    <t>Emissions liées au traitement
tCO2e</t>
  </si>
  <si>
    <t>! Fin de vie moyenne = moyenne nationale</t>
  </si>
  <si>
    <t>Matériel sur site ou accueilli</t>
  </si>
  <si>
    <t>Distance parcourue (km)</t>
  </si>
  <si>
    <t>Emissions 
tCO2e</t>
  </si>
  <si>
    <t>Conception</t>
  </si>
  <si>
    <t>Nombre de feuilles</t>
  </si>
  <si>
    <t>Recto-verso</t>
  </si>
  <si>
    <t>Grammage papier
(gr/m²)</t>
  </si>
  <si>
    <t>Format</t>
  </si>
  <si>
    <t>Poids (kg)</t>
  </si>
  <si>
    <t>Emissions liées à la production
tCO2e</t>
  </si>
  <si>
    <t>Emissions liées à l'impression
tCO2e</t>
  </si>
  <si>
    <t>Livraison</t>
  </si>
  <si>
    <t>Distance parcourue imprimeur-structure (km)</t>
  </si>
  <si>
    <t>Nombre d'exemplaires</t>
  </si>
  <si>
    <t>Nombre de feuilles par exemplaire</t>
  </si>
  <si>
    <t>Largeur (mm)</t>
  </si>
  <si>
    <t>Longueur (mm)</t>
  </si>
  <si>
    <t xml:space="preserve">Poids de la livraison (kg) </t>
  </si>
  <si>
    <t>Distribution</t>
  </si>
  <si>
    <t>Distance d'une tournée (km)</t>
  </si>
  <si>
    <t>Nombre de tournées</t>
  </si>
  <si>
    <t>Nombre d'exemplaires distribués par tournée</t>
  </si>
  <si>
    <t>Nombre de feuilles par exemplaire distribué</t>
  </si>
  <si>
    <t>Réseaux sociaux</t>
  </si>
  <si>
    <t>Réseau social</t>
  </si>
  <si>
    <t>Nombre de posts</t>
  </si>
  <si>
    <t>Nombre moyen de vues par post/par video</t>
  </si>
  <si>
    <t>Poids moyen unitaire (Ko)</t>
  </si>
  <si>
    <t>Poids total (Byte)</t>
  </si>
  <si>
    <t>Emissions des appareils
tCO2e</t>
  </si>
  <si>
    <t>Emissions des centres de stockage
tCO2e</t>
  </si>
  <si>
    <t>Emissions du réseau
tCO2e</t>
  </si>
  <si>
    <t>Vidéos, Streaming, Audio</t>
  </si>
  <si>
    <t>Support</t>
  </si>
  <si>
    <t>Intitulé</t>
  </si>
  <si>
    <t>Nombre de vues</t>
  </si>
  <si>
    <t>Durée de la vidéo/du streaming (mn)</t>
  </si>
  <si>
    <t>Poids de la vidéo/du streaming (Ko)</t>
  </si>
  <si>
    <t>Nombre de connexions</t>
  </si>
  <si>
    <t>Durée moyenne de chaque connexion (mn)</t>
  </si>
  <si>
    <t>Poids du site (Ko)</t>
  </si>
  <si>
    <t>Mails</t>
  </si>
  <si>
    <t>Type d'impression</t>
  </si>
  <si>
    <t>Nombre billets</t>
  </si>
  <si>
    <t>Emissions liées à la fin de vie
tCO2e</t>
  </si>
  <si>
    <t>e-Billets sur smartphone</t>
  </si>
  <si>
    <t>Nombre de e-billets présentés sur smartphone</t>
  </si>
  <si>
    <t>Poids du billet (Ko)</t>
  </si>
  <si>
    <t>Restauration des équipes</t>
  </si>
  <si>
    <t>Produit</t>
  </si>
  <si>
    <t>Unité</t>
  </si>
  <si>
    <t>Emballage</t>
  </si>
  <si>
    <t>Local (&lt;200km)</t>
  </si>
  <si>
    <t>Dont repas avec viande rouge (en %)</t>
  </si>
  <si>
    <t>Dont repas avec viande blanche (en %)</t>
  </si>
  <si>
    <t>Dont repas avec poisson (en %)</t>
  </si>
  <si>
    <t>Dont repas végétariens (en %)</t>
  </si>
  <si>
    <t>Dont repas végétaliens (en %)</t>
  </si>
  <si>
    <t xml:space="preserve">Total :  </t>
  </si>
  <si>
    <t>Transport de matériel artistique</t>
  </si>
  <si>
    <t>Intitulé de la tournée</t>
  </si>
  <si>
    <t>1. Trajet du lieu d'origine au lieu de première représentation</t>
  </si>
  <si>
    <t>2. Trajet retour du lieu de la dernière représentation au lieu d'origine</t>
  </si>
  <si>
    <t>3. Nombre de km parcourus sur le territoire de la tournée</t>
  </si>
  <si>
    <t>Nombre de lieux total sur la tournée de cet artiste (=1 si cadre hors tournée)</t>
  </si>
  <si>
    <t>Mode de transport principal</t>
  </si>
  <si>
    <t>Nombre de km parcourus sur le territoire de la tournée</t>
  </si>
  <si>
    <t>Emissions rattachées à votre structure
tCO2e</t>
  </si>
  <si>
    <t>Bilan simplifié des émissions de gaz à effet de serre des activités culturelles</t>
  </si>
  <si>
    <t>- Synthèse -</t>
  </si>
  <si>
    <t>&lt; insérer votre logo manuellement &gt;</t>
  </si>
  <si>
    <t>Quelques chiffres clés</t>
  </si>
  <si>
    <t>Nombre de salariés permanents :</t>
  </si>
  <si>
    <t>Nombre d'intermittents :</t>
  </si>
  <si>
    <t>nc. : non connu</t>
  </si>
  <si>
    <t>Le périmètre d'étude</t>
  </si>
  <si>
    <t>&lt; Commentaires à compléter manuellement &gt;</t>
  </si>
  <si>
    <r>
      <t>Le profil d'émissions (tCO</t>
    </r>
    <r>
      <rPr>
        <b/>
        <vertAlign val="subscript"/>
        <sz val="16"/>
        <color theme="9"/>
        <rFont val="Bahnschrift"/>
        <family val="2"/>
      </rPr>
      <t>2</t>
    </r>
    <r>
      <rPr>
        <b/>
        <sz val="16"/>
        <color theme="9"/>
        <rFont val="Bahnschrift"/>
        <family val="2"/>
      </rPr>
      <t>e)</t>
    </r>
  </si>
  <si>
    <r>
      <t>tCO</t>
    </r>
    <r>
      <rPr>
        <b/>
        <vertAlign val="subscript"/>
        <sz val="16"/>
        <color theme="0"/>
        <rFont val="Bahnschrift"/>
        <family val="2"/>
      </rPr>
      <t>2</t>
    </r>
    <r>
      <rPr>
        <b/>
        <sz val="16"/>
        <color theme="0"/>
        <rFont val="Bahnschrift"/>
        <family val="2"/>
      </rPr>
      <t>e</t>
    </r>
  </si>
  <si>
    <t>Emissions par salariés permanents</t>
  </si>
  <si>
    <r>
      <t>kgCO</t>
    </r>
    <r>
      <rPr>
        <vertAlign val="subscript"/>
        <sz val="10"/>
        <color theme="1"/>
        <rFont val="Bahnschrift"/>
        <family val="2"/>
      </rPr>
      <t>2</t>
    </r>
    <r>
      <rPr>
        <sz val="10"/>
        <color theme="1"/>
        <rFont val="Bahnschrift"/>
        <family val="2"/>
      </rPr>
      <t>e/salarié</t>
    </r>
  </si>
  <si>
    <t>Emissions par visiteur</t>
  </si>
  <si>
    <r>
      <t>kgCO</t>
    </r>
    <r>
      <rPr>
        <vertAlign val="subscript"/>
        <sz val="10"/>
        <color theme="1"/>
        <rFont val="Bahnschrift"/>
        <family val="2"/>
      </rPr>
      <t>2</t>
    </r>
    <r>
      <rPr>
        <sz val="10"/>
        <color theme="1"/>
        <rFont val="Bahnschrift"/>
        <family val="2"/>
      </rPr>
      <t>e/visiteur</t>
    </r>
  </si>
  <si>
    <t>&lt; Commentaires et analyse à compléter manuellement &gt;</t>
  </si>
  <si>
    <t>Les évolutions</t>
  </si>
  <si>
    <r>
      <t>Emissions (tCO</t>
    </r>
    <r>
      <rPr>
        <vertAlign val="subscript"/>
        <sz val="10"/>
        <color theme="1"/>
        <rFont val="Bahnschrift"/>
        <family val="2"/>
      </rPr>
      <t>2</t>
    </r>
    <r>
      <rPr>
        <sz val="10"/>
        <color theme="1"/>
        <rFont val="Bahnschrift"/>
        <family val="2"/>
      </rPr>
      <t>e)</t>
    </r>
  </si>
  <si>
    <t>Référence*</t>
  </si>
  <si>
    <t>Reporting</t>
  </si>
  <si>
    <t>Evolution</t>
  </si>
  <si>
    <r>
      <rPr>
        <sz val="10"/>
        <color theme="9"/>
        <rFont val="Wingdings"/>
        <charset val="2"/>
      </rPr>
      <t>lî</t>
    </r>
    <r>
      <rPr>
        <sz val="10"/>
        <color theme="1"/>
        <rFont val="Wingdings"/>
        <charset val="2"/>
      </rPr>
      <t xml:space="preserve"> </t>
    </r>
    <r>
      <rPr>
        <sz val="10"/>
        <color rgb="FFFF0000"/>
        <rFont val="Wingdings"/>
        <charset val="2"/>
      </rPr>
      <t>lì</t>
    </r>
  </si>
  <si>
    <t>Total</t>
  </si>
  <si>
    <t>* A renseigner manuellement</t>
  </si>
  <si>
    <t>Types d'énergie</t>
  </si>
  <si>
    <t>Valeur</t>
  </si>
  <si>
    <t>Source</t>
  </si>
  <si>
    <t>kgCO2e/kWh PCI</t>
  </si>
  <si>
    <t>Base carbone : Granulés bois - 8% d'humidité</t>
  </si>
  <si>
    <t>kgCO2e/t</t>
  </si>
  <si>
    <t>Base carbone : Plaquettes forestières - 25% d'humidité</t>
  </si>
  <si>
    <t>kgCO2e/litre</t>
  </si>
  <si>
    <t>Base carbone : Fioul domestique</t>
  </si>
  <si>
    <t>Base carbone : Butane - inclus maritime</t>
  </si>
  <si>
    <t>Base carbone : Propane - inclus maritime</t>
  </si>
  <si>
    <t>Base carbone : Electricité - photovoltaïque - Fabrication Chine (par défaut utilisé en France)</t>
  </si>
  <si>
    <t>Plaquettes forestières - tonnes -&gt; kWh</t>
  </si>
  <si>
    <t>t/kWh</t>
  </si>
  <si>
    <t>Fioul - litres -&gt; kWh</t>
  </si>
  <si>
    <t>litres/kWh</t>
  </si>
  <si>
    <t>Granulé bois - tonnes -&gt; kWh</t>
  </si>
  <si>
    <t>Eau potable de réseau</t>
  </si>
  <si>
    <t>Base carbone : Eau de reseau - Hors infrastructure</t>
  </si>
  <si>
    <t>R11</t>
  </si>
  <si>
    <t>tCO2e/t</t>
  </si>
  <si>
    <t>Base carbone</t>
  </si>
  <si>
    <t>R14</t>
  </si>
  <si>
    <t>R23</t>
  </si>
  <si>
    <t>R32</t>
  </si>
  <si>
    <t>R113</t>
  </si>
  <si>
    <t>R114</t>
  </si>
  <si>
    <t>R115</t>
  </si>
  <si>
    <t>R116</t>
  </si>
  <si>
    <t>R12</t>
  </si>
  <si>
    <t>R122</t>
  </si>
  <si>
    <t>R122a</t>
  </si>
  <si>
    <t>R123</t>
  </si>
  <si>
    <t>R123a</t>
  </si>
  <si>
    <t>R124</t>
  </si>
  <si>
    <t>R125</t>
  </si>
  <si>
    <t>R13</t>
  </si>
  <si>
    <t>R132c</t>
  </si>
  <si>
    <t>R134a</t>
  </si>
  <si>
    <t>R141b</t>
  </si>
  <si>
    <t>R142b</t>
  </si>
  <si>
    <t>R143a</t>
  </si>
  <si>
    <t>R152a</t>
  </si>
  <si>
    <t>R21</t>
  </si>
  <si>
    <t>R218</t>
  </si>
  <si>
    <t>R22</t>
  </si>
  <si>
    <t>R225ca</t>
  </si>
  <si>
    <t>R225cb</t>
  </si>
  <si>
    <t>R227ea</t>
  </si>
  <si>
    <t>R318</t>
  </si>
  <si>
    <t>R401a</t>
  </si>
  <si>
    <t>R404a</t>
  </si>
  <si>
    <t>R407a</t>
  </si>
  <si>
    <t>R407c</t>
  </si>
  <si>
    <t>R407f</t>
  </si>
  <si>
    <t>R408a</t>
  </si>
  <si>
    <t>R410a</t>
  </si>
  <si>
    <t>R417a</t>
  </si>
  <si>
    <t>R422a</t>
  </si>
  <si>
    <t>R422d</t>
  </si>
  <si>
    <t>R427a</t>
  </si>
  <si>
    <t>R4310mee</t>
  </si>
  <si>
    <t>R502</t>
  </si>
  <si>
    <t>R507</t>
  </si>
  <si>
    <t>R507a</t>
  </si>
  <si>
    <t>R5114</t>
  </si>
  <si>
    <t>kgCO2e/k€</t>
  </si>
  <si>
    <t>Emissions de fabrication</t>
  </si>
  <si>
    <t>Emissions d'utilisation</t>
  </si>
  <si>
    <t xml:space="preserve"> kgCO2e/tonne</t>
  </si>
  <si>
    <t>Base carbone "Fabrication de véhicule Voiture particulière" https://base-empreinte.ademe.fr/documentation/base-carbone?docLink=Routier2</t>
  </si>
  <si>
    <t>Base carbone "Véhicule fabrication"</t>
  </si>
  <si>
    <t>Base carbone "Fabrication de véhicule Deux roues"</t>
  </si>
  <si>
    <t>Base carbone "Fabrication de véhicule Autobus – Autocar"</t>
  </si>
  <si>
    <t>Base carbone : Vélo - à assistance électrique - Fabrication du véhicule</t>
  </si>
  <si>
    <t>Base carbone : Vélo - à assistance électrique - Utilisation du véhicule</t>
  </si>
  <si>
    <t>Fabrication et maintenance
European Cyclists’s Federation - durée de vie 8 ans, 2400 km</t>
  </si>
  <si>
    <t>Base carbone : Trottinette électrique - Fabrication</t>
  </si>
  <si>
    <t>Base carbone : Trottinette électrique - Utilisation</t>
  </si>
  <si>
    <t>Types de carburant</t>
  </si>
  <si>
    <r>
      <t xml:space="preserve">Gazole B7 - litres - </t>
    </r>
    <r>
      <rPr>
        <i/>
        <sz val="11"/>
        <color theme="1"/>
        <rFont val="Arial Nova Light"/>
        <family val="2"/>
      </rPr>
      <t>par défaut</t>
    </r>
  </si>
  <si>
    <t>Base carbone : Gazole routier - B7</t>
  </si>
  <si>
    <t>Gazole B10 - litres</t>
  </si>
  <si>
    <t>Base carbone : Gazole routier - B10</t>
  </si>
  <si>
    <t>Gazole B30 - litres</t>
  </si>
  <si>
    <t>Base carbone : Gazole routier - B30</t>
  </si>
  <si>
    <t>Essence SP95 - litres</t>
  </si>
  <si>
    <t>Base carbone : Essence - Supercarburant sans plomb (95, 95-E10, 98)</t>
  </si>
  <si>
    <t>Essence E85 - litres</t>
  </si>
  <si>
    <t>Base carbone : Essence - E85</t>
  </si>
  <si>
    <t>GPL - litres</t>
  </si>
  <si>
    <t>Base carbone : GPL pour véhicule routier</t>
  </si>
  <si>
    <t>Biodiesel - litres</t>
  </si>
  <si>
    <t>Base carbone : Biodiesel - sans changement d'affectation des sols</t>
  </si>
  <si>
    <t>Bioéthanol - litres</t>
  </si>
  <si>
    <t>Base carbone : Bioéthanol - sans changement d'affectation des sols</t>
  </si>
  <si>
    <t>Hydrogène moyen - kg</t>
  </si>
  <si>
    <t>kgCO2e/kg</t>
  </si>
  <si>
    <t>Hydrogène issu de l'énergie hydraulique - kg</t>
  </si>
  <si>
    <t>Hydrogène moyen</t>
  </si>
  <si>
    <t>Base carbone : Hydrogène produit sur site - électrolyse Mix France</t>
  </si>
  <si>
    <t>Hydrogène issu de l'énergie hydraulique</t>
  </si>
  <si>
    <t>Consommation moyenne d'hydrogène d'un véhicule léger</t>
  </si>
  <si>
    <t>kg/100km</t>
  </si>
  <si>
    <t>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 
"La consommation en hydrogène d'un véhicule léger varie de 0.8 à 1.2 kg/100 km"</t>
  </si>
  <si>
    <t>Mode transport</t>
  </si>
  <si>
    <t>Base carbone : Voiture - Motorisation moyenne - 2018 (hors fabrication)</t>
  </si>
  <si>
    <t>kgCO2e/passager.km</t>
  </si>
  <si>
    <t>Base carbone : Moto =&lt; 250 cm3 - Mixte - 2018</t>
  </si>
  <si>
    <t>Base carbone : Avion passagers - Court courrier, 2018 - AVEC trainées</t>
  </si>
  <si>
    <t>Base carbone : Avion passagers - Long courrier, 2018 - AVEC trainées</t>
  </si>
  <si>
    <t>Base carbone : Voiture - Motorisation Essence - 2018 (hors fabrication)</t>
  </si>
  <si>
    <t>Hypothèse durée de vie "Voiture"</t>
  </si>
  <si>
    <t>km</t>
  </si>
  <si>
    <t>Hypothèse poids moyen "Voiture"</t>
  </si>
  <si>
    <t>kg</t>
  </si>
  <si>
    <t>Hypothèse durée de vie "2 roues"</t>
  </si>
  <si>
    <t>Hypothèse poids moyen "2 roues"</t>
  </si>
  <si>
    <t>Hypothèse durée de vie "Bus"</t>
  </si>
  <si>
    <t>Hypothèse poids moyen "Bus"</t>
  </si>
  <si>
    <t>Equipement</t>
  </si>
  <si>
    <t xml:space="preserve">Base carbone : Ordinateur - portable </t>
  </si>
  <si>
    <t>Base carbone : Ordinateur - fixe</t>
  </si>
  <si>
    <t>Base carbone : Moyenne écran 21,5 pouces et écran 23,8 pouces</t>
  </si>
  <si>
    <t>Base carbone : Smartphone - classique</t>
  </si>
  <si>
    <t>Base carbone : Smartphone - de 5 pouces</t>
  </si>
  <si>
    <t xml:space="preserve">Base carbone : Téléphone fixe </t>
  </si>
  <si>
    <t xml:space="preserve">Base carbone </t>
  </si>
  <si>
    <t>Tablette - classique - 9 à 11 pouces Base carbone</t>
  </si>
  <si>
    <t>Densité moyenne par type de déchets
(kg/litre)</t>
  </si>
  <si>
    <t>Ordures ménagères résiduelles - Incinération</t>
  </si>
  <si>
    <t>Ordures ménagères résiduelles - Stockage</t>
  </si>
  <si>
    <t>Ordures ménagères résiduelles - Fin de vie moyenne</t>
  </si>
  <si>
    <t>Déchet d'équipement électrique et électronique moyen (par défaut) - Fin de vie moyenne</t>
  </si>
  <si>
    <t>Déchets d'éléments d'ameublement moyen (par défaut) - Fin de vie moyenne</t>
  </si>
  <si>
    <t>Plastique (moyenne) - Recyclage</t>
  </si>
  <si>
    <t>Base carbone : Moyenne plastiques</t>
  </si>
  <si>
    <t>Plastique (moyenne) - Incinération</t>
  </si>
  <si>
    <t>Plastique (moyenne) - Stockage</t>
  </si>
  <si>
    <t>Plastique (moyenne) - Fin de vie moyenne</t>
  </si>
  <si>
    <t>Verre - Recyclage</t>
  </si>
  <si>
    <t>Verre - Incinération</t>
  </si>
  <si>
    <t>Verre - Stockage</t>
  </si>
  <si>
    <t>Verre - Fin de vie moyenne</t>
  </si>
  <si>
    <t>Papier-Carton - Recyclage</t>
  </si>
  <si>
    <t>Base carbone : Carton</t>
  </si>
  <si>
    <t>Papier-Carton - Incinération</t>
  </si>
  <si>
    <t>Papier-Carton - Stockage</t>
  </si>
  <si>
    <t>Papier-Carton - Fin de vie moyenne</t>
  </si>
  <si>
    <t>Métaux - Recyclage</t>
  </si>
  <si>
    <t>Base carbone : Moyenne aluminium et Acier</t>
  </si>
  <si>
    <t>Métaux - Incinération</t>
  </si>
  <si>
    <t>Métaux - Stockage</t>
  </si>
  <si>
    <t>Métaux - Fin de vie moyenne</t>
  </si>
  <si>
    <t>Emballages - Bois - Incinération</t>
  </si>
  <si>
    <t>Emballages - Bois - Stockage</t>
  </si>
  <si>
    <t>Emballages - Bois - Fin de vie moyenne</t>
  </si>
  <si>
    <t>Emballages - Céramiques et autres inertes - Incinération</t>
  </si>
  <si>
    <t>Emballages - Céramiques et autres inertes - Stockage</t>
  </si>
  <si>
    <t>Emballages - Céramiques et autres inertes - Fin de vie moyenne</t>
  </si>
  <si>
    <t>Gros Electroménager - Fin de vie moyenne</t>
  </si>
  <si>
    <t>Petit appareil en mélange - Fin de vie moyenne</t>
  </si>
  <si>
    <t>Ecrans Cathode Ray Tube - Fin de vie moyenne</t>
  </si>
  <si>
    <t>Ecrans Plats - Fin de vie moyenne</t>
  </si>
  <si>
    <t>Tubes &amp; Lampes - Fin de vie moyenne</t>
  </si>
  <si>
    <t>Déchets d'éléments d'ameublement - Bois - Fin de vie moyenne</t>
  </si>
  <si>
    <t xml:space="preserve">
Déchets d'éléments d'ameublement - Literie - Fin de vie moyenne</t>
  </si>
  <si>
    <t>Déchets d'éléments d'ameublement - Rembourrés - Fin de vie moyenne</t>
  </si>
  <si>
    <t>Textiles et linges de maison usagés - Fin de vie moyenne</t>
  </si>
  <si>
    <t>Piles et batteries en mélange - Fin de vie moyenne</t>
  </si>
  <si>
    <t>Déchets de cuisine - Méthanisation</t>
  </si>
  <si>
    <t>Déchets de cuisine et déchets verts - Compostage industriel</t>
  </si>
  <si>
    <t>Déchets de cuisine et déchets verts - Compostage domestique en bac</t>
  </si>
  <si>
    <t>Déchets de cuisine et déchets verts - Compostage domestique en tas</t>
  </si>
  <si>
    <t>Déchets verts - Compostage domestique en tas</t>
  </si>
  <si>
    <t>Emballages - Plastique rigide PET bouteilles - Recyclage</t>
  </si>
  <si>
    <t>Emballages - Plastique pétrosourcé PET - Incinération</t>
  </si>
  <si>
    <t>Emballages - Plastique pétrosourcé PET - Stockage</t>
  </si>
  <si>
    <t>Emballages - Plastique rigide pétrosourcé PET bouteilles - Fin de vie moyenne</t>
  </si>
  <si>
    <t>Emballages - Plastique rigide PET autres emballages - Recyclage</t>
  </si>
  <si>
    <t>Emballages - Plastique biosourcé PET - Incinération</t>
  </si>
  <si>
    <t>Emballages - Plastique biosourcé PET</t>
  </si>
  <si>
    <t>Emballages - Plastique rigide pétrosourcé PET autres emballages - Fin de vie moyenne</t>
  </si>
  <si>
    <t>Emballages - Plastique rigide biosourcé PET bouteilles - Fin de vie moyenne</t>
  </si>
  <si>
    <t>Emballages - Plastique rigide biosourcé PET autres emballages - Fin de vie moyenne</t>
  </si>
  <si>
    <t>Emballages - Plastique souple PET pétrosourcé - Fin de vie moyenne</t>
  </si>
  <si>
    <t>Emballages - Plastique souple PET biosourcé - Fin de vie moyenne</t>
  </si>
  <si>
    <t>Emballages - Plastique rigide PE bouteilles - Recyclage</t>
  </si>
  <si>
    <t>Emballages - Plastique rigide PE autres emballages - Recyclage</t>
  </si>
  <si>
    <t>Emballages - Plastique souple PE - Recyclage</t>
  </si>
  <si>
    <t>Emballages - Plastique pétrosourcé PE - Incinération</t>
  </si>
  <si>
    <t>Emballages - Plastique biosourcé PE - Incinération</t>
  </si>
  <si>
    <t>Emballages - Plastique pétrosourcé PE - Stockage</t>
  </si>
  <si>
    <t>Emballages - Plastique biosourcé PE - Stockage</t>
  </si>
  <si>
    <t>Emballages - Plastique rigide pétrosourcé PE bouteilles - Fin de vie moyenne</t>
  </si>
  <si>
    <t>Emballages - Plastique rigide pétrosourcé PE autres emballages - Fin de vie moyenne</t>
  </si>
  <si>
    <t>Emballages - Plastique rigide biosourcé PE bouteilles - Fin de vie moyenn</t>
  </si>
  <si>
    <t>Emballages - Plastique rigide biosourcé PE autres emballages - Fin de vie moyenne</t>
  </si>
  <si>
    <t>Emballages - Plastique souple PE pétrosourcé - Fin de vie moyenne</t>
  </si>
  <si>
    <t>Emballages - Plastique souple PE biosourcé - Fin de vie moyenne filière</t>
  </si>
  <si>
    <t>Emballages - Plastique rigide PP bouteilles - Recyclage</t>
  </si>
  <si>
    <t>Emballages - Plastique rigide PP autres emballages - Recyclage</t>
  </si>
  <si>
    <t>Emballages - Plastique pétrosourcé PP - Incinération</t>
  </si>
  <si>
    <t>Emballages - Plastique biosourcé PP - Incinération</t>
  </si>
  <si>
    <t>Emballages - Plastique pétrosourcé PP - Stockage</t>
  </si>
  <si>
    <t>Emballages - Plastique biosourcé PP - Stockage</t>
  </si>
  <si>
    <t>Emballages - Plastique rigide biosourcé PP autres emballages - Fin de vie moyenne</t>
  </si>
  <si>
    <t>Emballages - Plastique souple PP pétrosourcé - Fin de vie moyenne</t>
  </si>
  <si>
    <t>Emballages - Plastique souple PP biosourcé - Fin de vie moyenne</t>
  </si>
  <si>
    <t>Emballages - Plastique rigide pétrosourcé PP bouteilles - Fin de vie moyenne</t>
  </si>
  <si>
    <t>Emballages - Plastique rigide pétrosourcé PP autres emballages - Fin de vie moyenne</t>
  </si>
  <si>
    <t>Emballages - Plastique rigide biosourcé PP bouteilles - Fin de vie moyenne</t>
  </si>
  <si>
    <t>Emballages - Plastique rigide PS-PSE - Incinération</t>
  </si>
  <si>
    <t>Emballages - Plastique rigide PS-PSE - Stockage</t>
  </si>
  <si>
    <t>Emballages - Plastique rigide PS-PSE - Fin de vie moyenne</t>
  </si>
  <si>
    <t>Emballages - Plastique rigide PVC - Incinération</t>
  </si>
  <si>
    <t>Emballages - Plastique rigide PVC - Stockage</t>
  </si>
  <si>
    <t>Emballages - Plastique rigide PVC - Fin de vie moyenne filière</t>
  </si>
  <si>
    <t>Emballages - Autres plastiques et plastiques complexes - Incinération</t>
  </si>
  <si>
    <t>Emballages - Autres plastiques et plastiques complexes - Stockage</t>
  </si>
  <si>
    <t>Emballages - Autres plastiques et plastiques complexes - Fin de vie moyenne</t>
  </si>
  <si>
    <t>Emballages - Aluminium - Recyclage</t>
  </si>
  <si>
    <t>Emballages - Aluminium - Incinération</t>
  </si>
  <si>
    <t>Emballages - Aluminium - Stockage</t>
  </si>
  <si>
    <t>Emballages - Aluminium - Fin de vie moyenne</t>
  </si>
  <si>
    <t>Emballages - Acier - Stockage</t>
  </si>
  <si>
    <t>Emballages - Acier - Incinération</t>
  </si>
  <si>
    <t>Ordures ménagères - par défaut</t>
  </si>
  <si>
    <t>kg/litre</t>
  </si>
  <si>
    <t>https://www.sindra.org/les-dechets-en-auvergne-rhone-alpes/dechets-non-dangereux/fonctionnement-de-sindra/densite-des-dechets</t>
  </si>
  <si>
    <t>Plastique</t>
  </si>
  <si>
    <t>Papier-carton</t>
  </si>
  <si>
    <t>Verre</t>
  </si>
  <si>
    <t>Métaux</t>
  </si>
  <si>
    <t>Encombrants</t>
  </si>
  <si>
    <t>Déchets verts</t>
  </si>
  <si>
    <t>Textile</t>
  </si>
  <si>
    <t>Bois de rebus</t>
  </si>
  <si>
    <t>Déchets organiques</t>
  </si>
  <si>
    <t>Véhicule</t>
  </si>
  <si>
    <t>Consommation moyenne</t>
  </si>
  <si>
    <t>Utilitaire 3,5 m3</t>
  </si>
  <si>
    <t>litre / 100 km</t>
  </si>
  <si>
    <t>Camionnette Peugeot Bipper 3-4mcube
https://comparateur-location-utilitaire.fr/camionnette-peugeot-bipper-3-4mcube/</t>
  </si>
  <si>
    <t>Utilitaire 12 m3</t>
  </si>
  <si>
    <t>Fiat Ducato 10-12 m3
https://comparateur-location-utilitaire.fr/fiat-ducato-10-12mcube/</t>
  </si>
  <si>
    <t>Utilitaire 25 m3</t>
  </si>
  <si>
    <t>Renault Master 20-22 m3
https://comparateur-location-utilitaire.fr/renault-master-20mcube/</t>
  </si>
  <si>
    <t>Semi-remorque</t>
  </si>
  <si>
    <t>https://fr.statista.com/statistiques/487208/consommation-de-carburant-moyenne-vehicule-lourd-france/</t>
  </si>
  <si>
    <t>Taille</t>
  </si>
  <si>
    <t>Nom</t>
  </si>
  <si>
    <t>mm²</t>
  </si>
  <si>
    <t>Autre</t>
  </si>
  <si>
    <t>120 x 176 mm</t>
  </si>
  <si>
    <t>320 x 240 mm</t>
  </si>
  <si>
    <t>101,6 x 53,975 mm</t>
  </si>
  <si>
    <t>152 x 70 mm</t>
  </si>
  <si>
    <t>A0</t>
  </si>
  <si>
    <t>841 x 1189 mm</t>
  </si>
  <si>
    <t>A1</t>
  </si>
  <si>
    <t>594 x 841 mm</t>
  </si>
  <si>
    <t>A2</t>
  </si>
  <si>
    <t>420 x 594 mm</t>
  </si>
  <si>
    <t>A3</t>
  </si>
  <si>
    <t>297 x 420 mm</t>
  </si>
  <si>
    <t>A4</t>
  </si>
  <si>
    <t>210 × 297 mm</t>
  </si>
  <si>
    <t>A5</t>
  </si>
  <si>
    <t>148 x 210 mm</t>
  </si>
  <si>
    <t>A6</t>
  </si>
  <si>
    <t>148 x 105 mm</t>
  </si>
  <si>
    <t>A7</t>
  </si>
  <si>
    <t>105 x 74 mm</t>
  </si>
  <si>
    <t>A8</t>
  </si>
  <si>
    <t>74 x 52 mm</t>
  </si>
  <si>
    <t>A9</t>
  </si>
  <si>
    <t>52 x 37 mm</t>
  </si>
  <si>
    <t>A10</t>
  </si>
  <si>
    <t>37 x 26 mm</t>
  </si>
  <si>
    <t>B0</t>
  </si>
  <si>
    <t>1000 x 1414 mm</t>
  </si>
  <si>
    <t>B1</t>
  </si>
  <si>
    <t>707 x 1000 mm</t>
  </si>
  <si>
    <t>B2</t>
  </si>
  <si>
    <t>500 x 707 mm</t>
  </si>
  <si>
    <t>B3</t>
  </si>
  <si>
    <t>353 x 500 mm</t>
  </si>
  <si>
    <t>B4</t>
  </si>
  <si>
    <t>250 x 353 mm</t>
  </si>
  <si>
    <t>B5</t>
  </si>
  <si>
    <t>176 x 250 mm</t>
  </si>
  <si>
    <t>B6</t>
  </si>
  <si>
    <t>125 x 176 mm</t>
  </si>
  <si>
    <t>B7</t>
  </si>
  <si>
    <t>88 x 125 mm</t>
  </si>
  <si>
    <t>B8</t>
  </si>
  <si>
    <t>62 x 88 mm</t>
  </si>
  <si>
    <t>B9</t>
  </si>
  <si>
    <t>44 x 62 mm</t>
  </si>
  <si>
    <t>B10</t>
  </si>
  <si>
    <t>31 x 44 mm</t>
  </si>
  <si>
    <t>C0</t>
  </si>
  <si>
    <t>917 x 1297 mm</t>
  </si>
  <si>
    <t>C1</t>
  </si>
  <si>
    <t>648 X 917 mm</t>
  </si>
  <si>
    <t>C2</t>
  </si>
  <si>
    <t>458 x 648 mm</t>
  </si>
  <si>
    <t>C3</t>
  </si>
  <si>
    <t>324 x 458 mm</t>
  </si>
  <si>
    <t>C4</t>
  </si>
  <si>
    <t>229 x 324 mm</t>
  </si>
  <si>
    <t>C5</t>
  </si>
  <si>
    <t>162 x 229 mm</t>
  </si>
  <si>
    <t>C6</t>
  </si>
  <si>
    <t>114 x 162 mm</t>
  </si>
  <si>
    <t>C7</t>
  </si>
  <si>
    <t>81 x 114 mm</t>
  </si>
  <si>
    <t>C8</t>
  </si>
  <si>
    <t>57 x 81 mm</t>
  </si>
  <si>
    <t>C9</t>
  </si>
  <si>
    <t>40 x 57 mm</t>
  </si>
  <si>
    <t>C10</t>
  </si>
  <si>
    <t>28 x 40 mm</t>
  </si>
  <si>
    <t>Facteur d'émissions</t>
  </si>
  <si>
    <t>Papier - Moyen - Hors utilisation et fin de vie</t>
  </si>
  <si>
    <t>Prestations d'impression</t>
  </si>
  <si>
    <t>Toner Couleur</t>
  </si>
  <si>
    <t>kgCO2e/100 feuilles A4</t>
  </si>
  <si>
    <t>Base carbone : Cartouche toner couleur (CMY) re-conditionnée</t>
  </si>
  <si>
    <t>Jet d'encre Noir et Blanc</t>
  </si>
  <si>
    <t>Base carbone : Cartouche jet d'encre Noir et Blanc re-conditionnée</t>
  </si>
  <si>
    <t>Toner Noir et Blanc</t>
  </si>
  <si>
    <t>Base carbone : Cartouche toner Noir et Blanc re-conditionnée</t>
  </si>
  <si>
    <t>Impression moyenne</t>
  </si>
  <si>
    <t>Papier - fin de vie moyenne</t>
  </si>
  <si>
    <t>Véhicules routiers (moyenne)</t>
  </si>
  <si>
    <t>kgCO2e/t.km</t>
  </si>
  <si>
    <t>Moyenne</t>
  </si>
  <si>
    <t>Utilitaire - Essence</t>
  </si>
  <si>
    <t>Base carbone : VUL - &lt; 3,5 tonnes - Essence</t>
  </si>
  <si>
    <t>Utilitaire - Diesel</t>
  </si>
  <si>
    <t>Base carbone : VUL - &lt; 3,5 tonnes - Diesel routier, incorporation 7 % de biodiesel</t>
  </si>
  <si>
    <t>Utilitaire - GNC</t>
  </si>
  <si>
    <t>Base carbone : VUL - &lt; 3,5 tonnes - GNC</t>
  </si>
  <si>
    <t>Utilitaire - GPL</t>
  </si>
  <si>
    <t>Base carbone : VUL - &lt; 3,5 tonnes - GPL</t>
  </si>
  <si>
    <t>Camion - Diesel</t>
  </si>
  <si>
    <t>Base carbone : Rigide - 3,5 à 7,5 tonnes - Diesel routier, incorporation 7 % de biodiesel</t>
  </si>
  <si>
    <t>Camion - Electrique</t>
  </si>
  <si>
    <t>Base carbone : Rigide - 3,5 à 7,5 tonnes - Electrique</t>
  </si>
  <si>
    <t>Camion - GNC</t>
  </si>
  <si>
    <t xml:space="preserve">Base carbone : Rigide - 3,5 à 7,5 tonnes - GNC </t>
  </si>
  <si>
    <t>Camion - Hybride</t>
  </si>
  <si>
    <t>Base carbone : Moyenne Rigide - 3,5 à 7,5 tonnes - Hybride parallèle et série</t>
  </si>
  <si>
    <t>Base carbone : Avion cargo - 10 à 25 tonnes, &lt;500 kms, 2018 - AVEC trainées</t>
  </si>
  <si>
    <t xml:space="preserve">Base carbone : France, Motorisation moyenne - Chargement moyen </t>
  </si>
  <si>
    <t>Camion porteur entre 3,5t et 7,5t - Diesel</t>
  </si>
  <si>
    <t>Base carbone : camion rigide</t>
  </si>
  <si>
    <t>Camion porteur entre 3,5t et 7,5t - Electrique</t>
  </si>
  <si>
    <t>Camion porteur entre 3,5t et 7,5t - GNC</t>
  </si>
  <si>
    <t>Camion porteur entre 3,5t et 7,5t - Hybride</t>
  </si>
  <si>
    <t>Camion porteur entre 7,5t et 12t - Diesel</t>
  </si>
  <si>
    <t>Camion porteur entre 7,5t et 12t - GNC</t>
  </si>
  <si>
    <t>Camion porteur entre 12t et 20t - Diesel</t>
  </si>
  <si>
    <t>Camion porteur entre 12t et 20t - GNC</t>
  </si>
  <si>
    <t>Camion porteur entre 12t et 20t - GNL</t>
  </si>
  <si>
    <t xml:space="preserve">Camion porteur entre 20t et 26t - Diesel </t>
  </si>
  <si>
    <t>Camion porteur entre 20t et 26t - GNC</t>
  </si>
  <si>
    <t>Camion porteur entre 20t et 26t - GNL</t>
  </si>
  <si>
    <t>Camion porteur &gt; 32t - Diesel</t>
  </si>
  <si>
    <t>Camion articulé &lt; 34t - Diesel</t>
  </si>
  <si>
    <t>Camion articulé entre 34t et 40t - Diesel</t>
  </si>
  <si>
    <t>Camion articulé entre 34t et 40t - GNC</t>
  </si>
  <si>
    <t>Camion articulé entre 34t et 40t - GNL</t>
  </si>
  <si>
    <t>Camion articulé entre 40t et 44t - Diesel</t>
  </si>
  <si>
    <t>Camion articulé entre 44t et 60t - Diesel</t>
  </si>
  <si>
    <t>Camion articulé entre 60t et 72t - Diesel</t>
  </si>
  <si>
    <t>Fret maritime</t>
  </si>
  <si>
    <t xml:space="preserve">Base carbone : Porte-conteneur - Dry - Valeur moyenne </t>
  </si>
  <si>
    <t>Fluvial - Automoteur &lt; 400 TPL</t>
  </si>
  <si>
    <t>Fluvial - Automoteur 400 à 649 TPL</t>
  </si>
  <si>
    <t>Fluvial - Automoteur 650 à 999 TPL</t>
  </si>
  <si>
    <t>Fluvial - Automoteur 1000 à 1499 TPL</t>
  </si>
  <si>
    <t>Fluvial - Automoteur 1500 à 2999 TPL</t>
  </si>
  <si>
    <t>Fluvial - Automoteur &gt; 3000 TPL</t>
  </si>
  <si>
    <t>Fluvial - Pousseur &lt; 880 kW</t>
  </si>
  <si>
    <t>Fluvial - Pousseur &gt; 880 kW</t>
  </si>
  <si>
    <t>Hypothèses numérique</t>
  </si>
  <si>
    <t>Utilisateurs</t>
  </si>
  <si>
    <t>Ordinateurs portables en wifi</t>
  </si>
  <si>
    <t>1 Mo</t>
  </si>
  <si>
    <t>Byte</t>
  </si>
  <si>
    <t>Durée lecture mail</t>
  </si>
  <si>
    <t>mn</t>
  </si>
  <si>
    <t>Consommation d'énergie des appareils</t>
  </si>
  <si>
    <t>kWh/mn</t>
  </si>
  <si>
    <t>source : Lean-ICT-Materials-1byte-Model-2018 The Shift Project</t>
  </si>
  <si>
    <t>Consommation des centres de stockage</t>
  </si>
  <si>
    <t>kWh/byte</t>
  </si>
  <si>
    <t>Consommation du réseau</t>
  </si>
  <si>
    <t>1 Mail</t>
  </si>
  <si>
    <t>Base carbone : 1 Mail</t>
  </si>
  <si>
    <t>kg CO2 eq/kg de produit</t>
  </si>
  <si>
    <t>Nom du Produit en Français</t>
  </si>
  <si>
    <t>Sous-groupe d'aliment</t>
  </si>
  <si>
    <t>DQR - Note de qualité de la donnée (1 excellente ; 5 très faible)</t>
  </si>
  <si>
    <t>Agriculture</t>
  </si>
  <si>
    <t>Transformation</t>
  </si>
  <si>
    <t>Transport</t>
  </si>
  <si>
    <t>Supermarché et distribution</t>
  </si>
  <si>
    <t>Consommation</t>
  </si>
  <si>
    <t>kg CO2eq/kg de produit</t>
  </si>
  <si>
    <t xml:space="preserve"> kg CO2eq/kg de produit Local</t>
  </si>
  <si>
    <t>Biscuit</t>
  </si>
  <si>
    <t>céréales de petit-déjeuner et biscuits</t>
  </si>
  <si>
    <t>Biscuit sec, sans précision</t>
  </si>
  <si>
    <t>Biscuit apéritif</t>
  </si>
  <si>
    <t>Moyenne Biscuit apéritif, sans précision</t>
  </si>
  <si>
    <t>Chips</t>
  </si>
  <si>
    <t>pommes de terre et autres tubercules</t>
  </si>
  <si>
    <t>[Agribalyse]</t>
  </si>
  <si>
    <t>Charcuterie</t>
  </si>
  <si>
    <t>charcuteries</t>
  </si>
  <si>
    <t>Moyenne charcuterie</t>
  </si>
  <si>
    <t>Fruits frais</t>
  </si>
  <si>
    <t>fruits</t>
  </si>
  <si>
    <t>Moyenne fruits</t>
  </si>
  <si>
    <t>Fruits secs</t>
  </si>
  <si>
    <t>fruits à coque et graines oléagineuses</t>
  </si>
  <si>
    <t>Moyenne fruits à coque et graines</t>
  </si>
  <si>
    <t>Fromage</t>
  </si>
  <si>
    <t>fromages</t>
  </si>
  <si>
    <t>Moyenne fromages</t>
  </si>
  <si>
    <t>Planches mixtes apéritives</t>
  </si>
  <si>
    <t>Quiche</t>
  </si>
  <si>
    <t>pizzas, tartes et crêpes salées</t>
  </si>
  <si>
    <t>Quiche Lorraine</t>
  </si>
  <si>
    <t>Pizza</t>
  </si>
  <si>
    <t>Moyenne des pizzas</t>
  </si>
  <si>
    <t>Frites</t>
  </si>
  <si>
    <t>Café, moulu</t>
  </si>
  <si>
    <t>boissons sans alcool</t>
  </si>
  <si>
    <t>Thé infusé, non sucré</t>
  </si>
  <si>
    <t>Eau embouteillée</t>
  </si>
  <si>
    <t>L</t>
  </si>
  <si>
    <t>eaux</t>
  </si>
  <si>
    <t>Agribalyse</t>
  </si>
  <si>
    <t>Champagne</t>
  </si>
  <si>
    <t>boisson alcoolisées</t>
  </si>
  <si>
    <t>Moyenne bières</t>
  </si>
  <si>
    <t>Vin</t>
  </si>
  <si>
    <t>Moyenne vin</t>
  </si>
  <si>
    <t>Boisson gazeuse</t>
  </si>
  <si>
    <t>Moyenne Boisson gazeuse</t>
  </si>
  <si>
    <t>Jus de fruits</t>
  </si>
  <si>
    <t>MoyenneBoisson plate aux fruits</t>
  </si>
  <si>
    <t>Bonbons, tout type</t>
  </si>
  <si>
    <t>confiseries non chocolatées</t>
  </si>
  <si>
    <t>Crêpe maison</t>
  </si>
  <si>
    <t>gâteaux et pâtisseries</t>
  </si>
  <si>
    <t>Gaufre moelleuse (type bruxelloise ou liégeoise), nature ou sucrée, préemballée</t>
  </si>
  <si>
    <t>Glace ou crème glacée, bâtonnet, enrobé de chocolat</t>
  </si>
  <si>
    <t>glaces</t>
  </si>
  <si>
    <t>Mix sandwichs vegé</t>
  </si>
  <si>
    <t>unité</t>
  </si>
  <si>
    <t>sandwichs</t>
  </si>
  <si>
    <t>Mix sandwichs carnés</t>
  </si>
  <si>
    <t>Repas vegan</t>
  </si>
  <si>
    <t>NOS GESTES CLIMAT</t>
  </si>
  <si>
    <t>Repas végétarien</t>
  </si>
  <si>
    <t>Repas viande blanche</t>
  </si>
  <si>
    <t>Repas viande rouge</t>
  </si>
  <si>
    <t>Repas poisson</t>
  </si>
  <si>
    <t>Repas poisson gras</t>
  </si>
  <si>
    <t>Repas poisson blanc</t>
  </si>
  <si>
    <t>SOURCE: NOS GESTES CLIMAT</t>
  </si>
  <si>
    <t>Repas Végétalien</t>
  </si>
  <si>
    <t>Ingrédients</t>
  </si>
  <si>
    <t>CIQUAL</t>
  </si>
  <si>
    <t>Qte (g)</t>
  </si>
  <si>
    <t>Kcal</t>
  </si>
  <si>
    <t>Protéines (g)</t>
  </si>
  <si>
    <t>Lipides (g)</t>
  </si>
  <si>
    <r>
      <t>kgCO</t>
    </r>
    <r>
      <rPr>
        <sz val="7"/>
        <color rgb="FFFFFFFF"/>
        <rFont val="Calibri"/>
        <family val="2"/>
        <scheme val="minor"/>
      </rPr>
      <t>2e</t>
    </r>
    <r>
      <rPr>
        <sz val="11"/>
        <color rgb="FFFFFFFF"/>
        <rFont val="Calibri"/>
        <family val="2"/>
        <scheme val="minor"/>
      </rPr>
      <t xml:space="preserve"> /kg</t>
    </r>
  </si>
  <si>
    <r>
      <t>gCO</t>
    </r>
    <r>
      <rPr>
        <sz val="7"/>
        <color rgb="FFFFFFFF"/>
        <rFont val="Calibri"/>
        <family val="2"/>
        <scheme val="minor"/>
      </rPr>
      <t>2e</t>
    </r>
  </si>
  <si>
    <t>    Entrée : légumes à la grecque</t>
  </si>
  <si>
    <t>Tomates (hors saison)</t>
  </si>
  <si>
    <t>Noix fraiche</t>
  </si>
  <si>
    <t>huile d'olive (1/2 c.s.)</t>
  </si>
  <si>
    <t>    Plat principal : tofu mariné, pommes de terre et oignons</t>
  </si>
  <si>
    <t>Tofu</t>
  </si>
  <si>
    <t>pommes de terre</t>
  </si>
  <si>
    <t>oignon</t>
  </si>
  <si>
    <t>    Dessert : salade de fruits</t>
  </si>
  <si>
    <t>fraises (hors saison)</t>
  </si>
  <si>
    <t>Pain</t>
  </si>
  <si>
    <t>Repas Végétarien</t>
  </si>
  <si>
    <t>    Entrée : soupe tomate</t>
  </si>
  <si>
    <t>crème fraîche</t>
  </si>
  <si>
    <t>    Plat principal : omelette aux pommes de terre et aux oignons</t>
  </si>
  <si>
    <t>2 œufs</t>
  </si>
  <si>
    <t>    Dessert : fromage et salade de fruits</t>
  </si>
  <si>
    <t>Fromage à pâte molle</t>
  </si>
  <si>
    <t>Repas Viande 1</t>
  </si>
  <si>
    <t>Tomates, hors saison</t>
  </si>
  <si>
    <t>    Plat principal : poulet au riz</t>
  </si>
  <si>
    <t>poulet</t>
  </si>
  <si>
    <t>riz</t>
  </si>
  <si>
    <t>    Plateau de fromages</t>
  </si>
  <si>
    <t>fromage à pâte molle</t>
  </si>
  <si>
    <t>fromage à pâte dure</t>
  </si>
  <si>
    <t>Repas Viande 2</t>
  </si>
  <si>
    <r>
      <t>gCO</t>
    </r>
    <r>
      <rPr>
        <sz val="7"/>
        <color rgb="FFFFFFFF"/>
        <rFont val="Calibri"/>
        <family val="2"/>
        <scheme val="minor"/>
      </rPr>
      <t>2e</t>
    </r>
    <r>
      <rPr>
        <sz val="11"/>
        <color rgb="FFFFFFFF"/>
        <rFont val="Calibri"/>
        <family val="2"/>
        <scheme val="minor"/>
      </rPr>
      <t xml:space="preserve"> </t>
    </r>
  </si>
  <si>
    <t>Entrée : tzatziki</t>
  </si>
  <si>
    <t>yaourt</t>
  </si>
  <si>
    <t>concombre</t>
  </si>
  <si>
    <t>    Plat principal : bifteck - frites</t>
  </si>
  <si>
    <t>pièce de viande rouge</t>
  </si>
  <si>
    <t>    Dessert : tarte aux poires</t>
  </si>
  <si>
    <t>tarte aux poires</t>
  </si>
  <si>
    <t>Repas Poisson 1</t>
  </si>
  <si>
    <t>Titre : Saumon, thon</t>
  </si>
  <si>
    <t>    Plat principal : portion de tarte au saumon</t>
  </si>
  <si>
    <t>saumon</t>
  </si>
  <si>
    <t>pate feuilletée</t>
  </si>
  <si>
    <t>lait demi-écrémé pasteurisé</t>
  </si>
  <si>
    <t>crème légère</t>
  </si>
  <si>
    <t>Oeuf, cru</t>
  </si>
  <si>
    <t>Repas Poisson 2</t>
  </si>
  <si>
    <t>Titre : Repas avec poisson blanc</t>
  </si>
  <si>
    <t>légumes (tomates)</t>
  </si>
  <si>
    <t>    Plat principal : poisson sauce beurre blanc</t>
  </si>
  <si>
    <t>poisson blanc</t>
  </si>
  <si>
    <t>sauce beurre blanc préamballée</t>
  </si>
  <si>
    <t>Petit dej 1</t>
  </si>
  <si>
    <t>Titre : Continental</t>
  </si>
  <si>
    <t>Ingérdients</t>
  </si>
  <si>
    <t>gCO2e</t>
  </si>
  <si>
    <t>kgCO2e / an</t>
  </si>
  <si>
    <t>Pain (Pain, baguette, courante)</t>
  </si>
  <si>
    <t>Vienoiserie (Croissant, sans précision)</t>
  </si>
  <si>
    <t>Beurre demi-sel</t>
  </si>
  <si>
    <t>Confiture (Confiture, tout type de fruits, allégée en sucres (extra ou classique))</t>
  </si>
  <si>
    <t>Orange</t>
  </si>
  <si>
    <t>Petit dej 2</t>
  </si>
  <si>
    <t>Titre : Produit laitier &amp; Céréales</t>
  </si>
  <si>
    <t>Option lait de vache</t>
  </si>
  <si>
    <t>Céréales (Céréales pour petit déjeuner "équilibre" au chocolat (non enrichies en vitamines et minéraux)</t>
  </si>
  <si>
    <t>Reccomandé : entre 30 et 45g mais en général c'est plus élevé, on fait l'hypothèse qu'en moyenne la quantité est de 60g pour une personne qui prend lait + céréales</t>
  </si>
  <si>
    <t>Produit laitier (lait ou yaourt)</t>
  </si>
  <si>
    <t>Option lait de soja</t>
  </si>
  <si>
    <t>Option lait d'avoine</t>
  </si>
  <si>
    <t>Petit dej 3</t>
  </si>
  <si>
    <t>Titre : Britannique</t>
  </si>
  <si>
    <t>gCO2e /kg</t>
  </si>
  <si>
    <t>Jambon</t>
  </si>
  <si>
    <t>Oeufs (2 oeufs au plat)</t>
  </si>
  <si>
    <t>Huile</t>
  </si>
  <si>
    <t>Toasts (2 tranches - Pain de mie, courant)</t>
  </si>
  <si>
    <t>Petit dej 4</t>
  </si>
  <si>
    <t>Titre : Le végétalien</t>
  </si>
  <si>
    <t>Banane</t>
  </si>
  <si>
    <t>Kiwi</t>
  </si>
  <si>
    <t>Pomme</t>
  </si>
  <si>
    <t>Code CIQUAL</t>
  </si>
  <si>
    <t>Abondance</t>
  </si>
  <si>
    <t>Abricot au sirop léger, appertisé, égoutté</t>
  </si>
  <si>
    <t>Abricot au sirop léger, appertisé, non égoutté</t>
  </si>
  <si>
    <t>Abricot au sirop, appertisé, égoutté</t>
  </si>
  <si>
    <t>Abricot au sirop, appertisé, non égoutté</t>
  </si>
  <si>
    <t>Abricot, dénoyauté, cru</t>
  </si>
  <si>
    <t>Abricot, dénoyauté, sec</t>
  </si>
  <si>
    <t>Accra de poisson</t>
  </si>
  <si>
    <t>produits à base de poissons et produits de la mer</t>
  </si>
  <si>
    <t>Agar (algue), cru</t>
  </si>
  <si>
    <t>algues</t>
  </si>
  <si>
    <t>Agneau, collier, braisé ou bouilli</t>
  </si>
  <si>
    <t>viandes cuites</t>
  </si>
  <si>
    <t>Agneau, collier, cru</t>
  </si>
  <si>
    <t>viandes crues</t>
  </si>
  <si>
    <t>Agneau, côte filet, crue</t>
  </si>
  <si>
    <t>Agneau, côte filet, grillée/poêlée</t>
  </si>
  <si>
    <t>Agneau, côte première, crue</t>
  </si>
  <si>
    <t>Agneau, côte première, grillée/poêlée</t>
  </si>
  <si>
    <t>Agneau, côtelette, crue</t>
  </si>
  <si>
    <t>Agneau, côtelette, grillée</t>
  </si>
  <si>
    <t>Agneau, épaule, crue</t>
  </si>
  <si>
    <t>Agneau, épaule, maigre, crue</t>
  </si>
  <si>
    <t>Agneau, épaule, maigre, rôtie/cuite au four</t>
  </si>
  <si>
    <t>Agneau, épaule, rôtie/cuite au four</t>
  </si>
  <si>
    <t>Agneau, gigot, braisé</t>
  </si>
  <si>
    <t>Agneau, gigot, cru</t>
  </si>
  <si>
    <t>Agneau, gigot, grillé/poêlé</t>
  </si>
  <si>
    <t>Agneau, gigot, rôti/cuit au four</t>
  </si>
  <si>
    <t>Agneau, selle, crue</t>
  </si>
  <si>
    <t>Agneau, selle, partie maigre, grillée/poêlée</t>
  </si>
  <si>
    <t>Agneau, selle, partie maigre, rôtie/cuite au four</t>
  </si>
  <si>
    <t>Ail séché, poudre</t>
  </si>
  <si>
    <t>herbes</t>
  </si>
  <si>
    <t>Ail, cru</t>
  </si>
  <si>
    <t>Alcool pur</t>
  </si>
  <si>
    <t>Aligot (purée de pomme de terre à la tomme fraîche)</t>
  </si>
  <si>
    <t>plats composés</t>
  </si>
  <si>
    <t>Amande (avec peau)</t>
  </si>
  <si>
    <t>Amande, grillée, salée</t>
  </si>
  <si>
    <t>Amande, mondée, émondée ou blanchie</t>
  </si>
  <si>
    <t>Amarante, crue</t>
  </si>
  <si>
    <t>pâtes, riz et céréales</t>
  </si>
  <si>
    <t>Amidon de maïs ou fécule de maïs</t>
  </si>
  <si>
    <t>farines et pâtes à tarte</t>
  </si>
  <si>
    <t>Ananas au sirop et jus d'ananas, appertisé, égoutté</t>
  </si>
  <si>
    <t>Ananas au sirop et jus d'ananas, appertisé, non égoutté</t>
  </si>
  <si>
    <t>Ananas au sirop léger, appertisé, égoutté</t>
  </si>
  <si>
    <t>Ananas au sirop léger, appertisé, non égoutté</t>
  </si>
  <si>
    <t>Ananas, pulpe, cru</t>
  </si>
  <si>
    <t>Anchois au sel (anchoité, semi-conserve)</t>
  </si>
  <si>
    <t>Anchois commun, cru</t>
  </si>
  <si>
    <t>poissons crus</t>
  </si>
  <si>
    <t>Anchois commun, mariné</t>
  </si>
  <si>
    <t>Anchois, filets à l'huile, semi-conserve, égoutté</t>
  </si>
  <si>
    <t>Anchois, filets roulés aux câpres, semi-conserve, égoutté</t>
  </si>
  <si>
    <t>Andouille</t>
  </si>
  <si>
    <t>Andouille de Guéméné</t>
  </si>
  <si>
    <t>Andouille de Vire</t>
  </si>
  <si>
    <t>Andouille, réchauffée à la poêle</t>
  </si>
  <si>
    <t>Andouillette de Troyes, crue</t>
  </si>
  <si>
    <t>Andouillette, crue</t>
  </si>
  <si>
    <t>Andouillette, sautée/poêlée</t>
  </si>
  <si>
    <t>Aneth, frais</t>
  </si>
  <si>
    <t>Ao-nori (Enteromorpha sp.), séchée ou déshydratée</t>
  </si>
  <si>
    <t>Apéritif à base de vin ou vermouth</t>
  </si>
  <si>
    <t>Arachide, bouillie/cuite à l'eau, salée</t>
  </si>
  <si>
    <t>Artichaut, appertisé, égoutté</t>
  </si>
  <si>
    <t>légumes</t>
  </si>
  <si>
    <t>Artichaut, coeur, appertisé, égoutté</t>
  </si>
  <si>
    <t>Artichaut, cru</t>
  </si>
  <si>
    <t>Artichaut, cuit</t>
  </si>
  <si>
    <t>Artichaut, fond, appertisé, égoutté</t>
  </si>
  <si>
    <t>Artichaut, fond, surgelé, cru</t>
  </si>
  <si>
    <t>Ascophylle noueux ou goémon noir (Ascophyllum nodosum), séché ou déshydraté</t>
  </si>
  <si>
    <t>Asiago</t>
  </si>
  <si>
    <t>Asperge, appertisée, égouttée</t>
  </si>
  <si>
    <t>Asperge, blanche ou violette, pelée, crue</t>
  </si>
  <si>
    <t>Asperge, bouillie/cuite à l'eau</t>
  </si>
  <si>
    <t>Asperge, pelée, crue</t>
  </si>
  <si>
    <t>Asperge, verte, crue</t>
  </si>
  <si>
    <t>Aubergine, crue</t>
  </si>
  <si>
    <t>Aubergine, cuite</t>
  </si>
  <si>
    <t>Avocat, pulpe, cru</t>
  </si>
  <si>
    <t>Avoine, crue</t>
  </si>
  <si>
    <t>Baba au rhum, préemballé</t>
  </si>
  <si>
    <t>Bagel</t>
  </si>
  <si>
    <t>pains et viennoiseries</t>
  </si>
  <si>
    <t>Baklava ou Baklawa (pâtisserie orientale aux amandes et sirop)</t>
  </si>
  <si>
    <t>Bambou, pousse, crue</t>
  </si>
  <si>
    <t>Bambou, pousses, appertisées, égouttées</t>
  </si>
  <si>
    <t>Banane plantain, crue</t>
  </si>
  <si>
    <t>Banane plantain, cuite</t>
  </si>
  <si>
    <t>Banane, pulpe, crue</t>
  </si>
  <si>
    <t>Banane, pulpe, sèche</t>
  </si>
  <si>
    <t>Bar commun ou loup (Méditerranée), cru, élevage</t>
  </si>
  <si>
    <t>Bar commun ou loup (Méditerranée), cru, sauvage</t>
  </si>
  <si>
    <t>Bar commun ou loup, cru, sans précision</t>
  </si>
  <si>
    <t>Bar commun ou loup, rôti/cuit au four</t>
  </si>
  <si>
    <t>poissons cuits</t>
  </si>
  <si>
    <t>Bar ou loup de l'Atlantique, cru</t>
  </si>
  <si>
    <t>Bar rayé ou bar d'Amérique, cru</t>
  </si>
  <si>
    <t>Barre à la noix de coco, enrobée de chocolat</t>
  </si>
  <si>
    <t>chocolats et produits à base de chocolat</t>
  </si>
  <si>
    <t>Barre biscuitée fourrée aux fruits, allégée en matière grasse</t>
  </si>
  <si>
    <t>Barre céréalière "équilibre" aux fruits, enrichie en vitamines et minéraux</t>
  </si>
  <si>
    <t>Barre céréalière "équilibre" chocolatée, enrichie en vitamines et minéraux</t>
  </si>
  <si>
    <t>Barre céréalière aux amandes ou noisettes</t>
  </si>
  <si>
    <t>Barre céréalière aux fruits</t>
  </si>
  <si>
    <t>Barre céréalière chocolatée</t>
  </si>
  <si>
    <t>Barre céréalière pour petit déjeuner au lait, chocolatée ou non, enrichie en vitamines et minéraux</t>
  </si>
  <si>
    <t>Barre chocolat au lait avec nougat</t>
  </si>
  <si>
    <t>Barre chocolatée aux fruits secs</t>
  </si>
  <si>
    <t>Barre chocolatée biscuitée</t>
  </si>
  <si>
    <t>Barre chocolatée non biscuitée enrobée</t>
  </si>
  <si>
    <t>Barre glacée chocolatée</t>
  </si>
  <si>
    <t>Barre goûter frais au lait et chocolat</t>
  </si>
  <si>
    <t>Barre goûter frais au lait et chocolat avec génoise</t>
  </si>
  <si>
    <t>Barres ou confiserie chocolatées au lait</t>
  </si>
  <si>
    <t>Base de pizza à la crème</t>
  </si>
  <si>
    <t>ingrédients divers</t>
  </si>
  <si>
    <t>Base de pizza tomatée</t>
  </si>
  <si>
    <t>Basilic, frais</t>
  </si>
  <si>
    <t>Basilic, séché</t>
  </si>
  <si>
    <t>Beaufort</t>
  </si>
  <si>
    <t>Beignet à la confiture</t>
  </si>
  <si>
    <t>Beignet de crevette</t>
  </si>
  <si>
    <t>Beignet de légumes</t>
  </si>
  <si>
    <t>Beignet de viande, volaille ou poisson, fait maison</t>
  </si>
  <si>
    <t>feuilletées et autres entrées</t>
  </si>
  <si>
    <t>Beignet fourré aux fruits, préemballé</t>
  </si>
  <si>
    <t>Beignet fourré goût chocolat, préemballé</t>
  </si>
  <si>
    <t>Beignet rond moelleux, sans fourrage, saupoudré de sucre</t>
  </si>
  <si>
    <t>Bette ou blette, crue</t>
  </si>
  <si>
    <t>Bette ou blette, cuite</t>
  </si>
  <si>
    <t>Betterave rouge, crue</t>
  </si>
  <si>
    <t>Betterave rouge, cuite</t>
  </si>
  <si>
    <t>Beurre à 39-41% MG, léger, doux</t>
  </si>
  <si>
    <t>beurres</t>
  </si>
  <si>
    <t>Beurre à 60-62% MG, à teneur réduite en matière grasse, demi-sel</t>
  </si>
  <si>
    <t>Beurre à 60-62% MG, à teneur réduite en matière grasse, doux</t>
  </si>
  <si>
    <t>Beurre à 80% MG, demi-sel</t>
  </si>
  <si>
    <t>Beurre à 80% MG, salé</t>
  </si>
  <si>
    <t>Beurre à 82% MG, doux</t>
  </si>
  <si>
    <t>Beurre à 82% MG, doux, tendre</t>
  </si>
  <si>
    <t>Beurre de cacahuète ou Pâte d'arachide</t>
  </si>
  <si>
    <t>Beurre de cacao</t>
  </si>
  <si>
    <t>huiles et graisses végétales</t>
  </si>
  <si>
    <t>Bicarbonate de soude</t>
  </si>
  <si>
    <t>Bière "coeur de marché" (4-5° alcool)</t>
  </si>
  <si>
    <t>Bière "de spécialités" ou d'abbaye, régionales ou d'une brasserie (degré d'alcool variable)</t>
  </si>
  <si>
    <t>Bière "spéciale" (5-6° alcool)</t>
  </si>
  <si>
    <t>Bière brune</t>
  </si>
  <si>
    <t>Bière faiblement alcoolisée (3° alcool)</t>
  </si>
  <si>
    <t>Bière forte (&gt;8° alcool)</t>
  </si>
  <si>
    <t>Bière sans alcool (&lt;1,2° alcool)</t>
  </si>
  <si>
    <t>Biscotte briochée</t>
  </si>
  <si>
    <t>Biscotte classique</t>
  </si>
  <si>
    <t>Biscotte complète ou riche en fibres</t>
  </si>
  <si>
    <t>Biscotte multicéréale</t>
  </si>
  <si>
    <t>Biscotte sans adjonction de sel</t>
  </si>
  <si>
    <t>Biscuit apéritif à base de pomme de terre, type tuile salée</t>
  </si>
  <si>
    <t>Biscuit apéritif feuilleté</t>
  </si>
  <si>
    <t>Biscuit apéritif soufflé, à base de maïs, à la cacahuète</t>
  </si>
  <si>
    <t>Biscuit apéritif soufflé, à base de maïs, sans cacahuète</t>
  </si>
  <si>
    <t>Biscuit apéritif soufflé, à base de pomme de terre</t>
  </si>
  <si>
    <t>Biscuit apéritif soufflé, à base de pomme de terre et de soja</t>
  </si>
  <si>
    <t>Biscuit apéritif, crackers, garni ou fourré, au fromage</t>
  </si>
  <si>
    <t>Biscuit apéritif, crackers, nature</t>
  </si>
  <si>
    <t>Biscuit apéritif, crackers, nature, allégé en matière grasse</t>
  </si>
  <si>
    <t>Biscuit apéritif, mini bretzel ou sticks</t>
  </si>
  <si>
    <t>Biscuit aux céréales pour petit déjeuner, enrichis en vitamines et minéraux</t>
  </si>
  <si>
    <t>Biscuit de Savoie</t>
  </si>
  <si>
    <t>Biscuit moelleux fourré à l'orange et enrobé de sucre glace</t>
  </si>
  <si>
    <t>Biscuit pâtissier meringué</t>
  </si>
  <si>
    <t>Biscuit pour bébé</t>
  </si>
  <si>
    <t>céréales et biscuits infantiles</t>
  </si>
  <si>
    <t>Biscuit sec (génoise) nappage aux fruits, type barquette</t>
  </si>
  <si>
    <t>Biscuit sec à teneur garantie en vitamines</t>
  </si>
  <si>
    <t>Biscuit sec à teneur garantie en vitamines et minéraux</t>
  </si>
  <si>
    <t>Biscuit sec au beurre, sablé, galette ou palet</t>
  </si>
  <si>
    <t>Biscuit sec au beurre, sablé, galette ou palet, au chocolat</t>
  </si>
  <si>
    <t>Biscuit sec au lait</t>
  </si>
  <si>
    <t>Biscuit sec aux fruits, hyposodé</t>
  </si>
  <si>
    <t>Biscuit sec aux œufs à la cuillère (cuiller) ou Boudoir</t>
  </si>
  <si>
    <t>Biscuit sec avec nappage chocolat</t>
  </si>
  <si>
    <t>Biscuit sec avec tablette de chocolat</t>
  </si>
  <si>
    <t>Biscuit sec chocolaté, préemballé</t>
  </si>
  <si>
    <t>Biscuit sec chocolaté, type barquette</t>
  </si>
  <si>
    <t>Biscuit sec chocolaté, type galette</t>
  </si>
  <si>
    <t>Biscuit sec chocolaté, type tartelette</t>
  </si>
  <si>
    <t>Biscuit sec croquant (ex : tuile) sans chocolat, allégé en matière grasse</t>
  </si>
  <si>
    <t>Biscuit sec croquant au chocolat, allégé en matière grasse</t>
  </si>
  <si>
    <t>Biscuit sec feuilleté, type palmier ou autres</t>
  </si>
  <si>
    <t>Biscuit sec fourré à la pâte ou purée de fruits</t>
  </si>
  <si>
    <t>Biscuit sec fourré aux fruits, allégé en matière grasse</t>
  </si>
  <si>
    <t>Biscuit sec fourré fruits à coque (non ou légèrement chocolaté)</t>
  </si>
  <si>
    <t>Biscuit sec nappé aux fruits, tartelette</t>
  </si>
  <si>
    <t>Biscuit sec nature</t>
  </si>
  <si>
    <t>Biscuit sec ou tuile, aux amandes</t>
  </si>
  <si>
    <t>Biscuit sec pauvre en glucides</t>
  </si>
  <si>
    <t>Biscuit sec petit beurre</t>
  </si>
  <si>
    <t>Biscuit sec petit beurre au chocolat</t>
  </si>
  <si>
    <t>Biscuit sec pour petit déjeuner</t>
  </si>
  <si>
    <t>Biscuit sec pour petit déjeuner, allégé en sucres</t>
  </si>
  <si>
    <t>Biscuit sec pour petit déjeuner, au chocolat</t>
  </si>
  <si>
    <t>Biscuit sec type langue de chat ou cigarette russe</t>
  </si>
  <si>
    <t>Biscuit sec type tuile, aux fruits</t>
  </si>
  <si>
    <t>Biscuit sec, avec matière grasse végétale</t>
  </si>
  <si>
    <t>Biscuit sec, petits fours en assortiment</t>
  </si>
  <si>
    <t>Biscuit sec, sablé, galette ou palet, aux fruits</t>
  </si>
  <si>
    <t>Blanquette de veau</t>
  </si>
  <si>
    <t>Blé de Khorasan, cru</t>
  </si>
  <si>
    <t>Blé dur entier, cru</t>
  </si>
  <si>
    <t>Blé dur précuit cuisiné, en sachet micro-ondable</t>
  </si>
  <si>
    <t>Blé dur précuit, entier, cru</t>
  </si>
  <si>
    <t>Blé dur précuit, grains entiers, cuisiné, à poêler</t>
  </si>
  <si>
    <t>Blé dur précuit, grains entiers, cuit, non salé</t>
  </si>
  <si>
    <t>Blé tendre entier ou froment, cru</t>
  </si>
  <si>
    <t>Bleu de Gex ou Fromage bleu du Haut-jura ou Bleu de septmoncel (AOC)</t>
  </si>
  <si>
    <t>Blini</t>
  </si>
  <si>
    <t>Boeuf aux carottes</t>
  </si>
  <si>
    <t>Boeuf bourguignon</t>
  </si>
  <si>
    <t>Boeuf, à bourguignon ou pot-au-feu, cru</t>
  </si>
  <si>
    <t>Boeuf, à bourguignon ou pot-au-feu, cuit</t>
  </si>
  <si>
    <t>Boeuf, bavette d'aloyau, crue</t>
  </si>
  <si>
    <t>Boeuf, bavette d'aloyau, grillée/poêlée</t>
  </si>
  <si>
    <t>Boeuf, boule de macreuse, crue</t>
  </si>
  <si>
    <t>Boeuf, boule de macreuse, grillée/poêlée</t>
  </si>
  <si>
    <t>Boeuf, boule de macreuse, rôtie/cuite au four</t>
  </si>
  <si>
    <t>Boeuf, boulettes cuites</t>
  </si>
  <si>
    <t>autres produits à base de viande</t>
  </si>
  <si>
    <t>Boeuf, braisé</t>
  </si>
  <si>
    <t>Boeuf, collier, braisé</t>
  </si>
  <si>
    <t>Boeuf, côte, crue</t>
  </si>
  <si>
    <t>Boeuf, entrecôte, crue</t>
  </si>
  <si>
    <t>Boeuf, entrecôte, partie maigre, grillée/poêlée</t>
  </si>
  <si>
    <t>Boeuf, épaule, crue</t>
  </si>
  <si>
    <t>Boeuf, faux-filet, cru</t>
  </si>
  <si>
    <t>Boeuf, faux-filet, grillé/poêlé</t>
  </si>
  <si>
    <t>Boeuf, faux-filet, label rouge, cru</t>
  </si>
  <si>
    <t>Boeuf, faux-filet, rôti/cuit au four</t>
  </si>
  <si>
    <t>Boeuf, gîte à la noix, cru</t>
  </si>
  <si>
    <t>Boeuf, gîte à la noix, cuit</t>
  </si>
  <si>
    <t>Boeuf, hampe, crue</t>
  </si>
  <si>
    <t>Boeuf, hampe, grillée/poêlée</t>
  </si>
  <si>
    <t>Boeuf, jarret, bouilli/cuit à l'eau</t>
  </si>
  <si>
    <t>Boeuf, jarret, cru</t>
  </si>
  <si>
    <t>Boeuf, joue, braisée ou bouillie</t>
  </si>
  <si>
    <t>Boeuf, joue, crue</t>
  </si>
  <si>
    <t>Boeuf, onglet, cru</t>
  </si>
  <si>
    <t>Boeuf, onglet, grillé</t>
  </si>
  <si>
    <t>Boeuf, paleron, braisé ou bouilli</t>
  </si>
  <si>
    <t>Boeuf, paleron, cru</t>
  </si>
  <si>
    <t>Boeuf, plat de côtes, braisé</t>
  </si>
  <si>
    <t>Boeuf, plat de côtes, cru</t>
  </si>
  <si>
    <t>Boeuf, queue, bouillie/cuite à l'eau</t>
  </si>
  <si>
    <t>Boeuf, rosbif, rôti/cuit au four</t>
  </si>
  <si>
    <t>Boeuf, rumsteck, cru</t>
  </si>
  <si>
    <t>Boeuf, rumsteck, grillé</t>
  </si>
  <si>
    <t>Bœuf, steak haché 10% MG, cru</t>
  </si>
  <si>
    <t>Bœuf, steak haché 10% MG, cuit</t>
  </si>
  <si>
    <t>Bœuf, steak haché 15% MG, cru</t>
  </si>
  <si>
    <t>Bœuf, steak haché 15% MG, cuit</t>
  </si>
  <si>
    <t>Bœuf, steak haché 20% MG, cru</t>
  </si>
  <si>
    <t>Bœuf, steak haché 20% MG, cuit</t>
  </si>
  <si>
    <t>Bœuf, steak haché 5% MG, cru</t>
  </si>
  <si>
    <t>Bœuf, steak haché 5% MG, cuit</t>
  </si>
  <si>
    <t>Boeuf, steak ou bifteck, cru</t>
  </si>
  <si>
    <t>Boeuf, steak ou bifteck, grillé</t>
  </si>
  <si>
    <t>Boeuf, tende de tranche, crue</t>
  </si>
  <si>
    <t>Boeuf, tende de tranche, grillée/poêlée</t>
  </si>
  <si>
    <t>Boeuf, tende de tranche, rôtie/cuite au four</t>
  </si>
  <si>
    <t>Bogue, crue</t>
  </si>
  <si>
    <t>Boisson à base d'avoine, nature</t>
  </si>
  <si>
    <t>Boisson à base de riz, nature</t>
  </si>
  <si>
    <t>Boisson à la noix de coco, nature, préemballée</t>
  </si>
  <si>
    <t>Boisson à l'amande</t>
  </si>
  <si>
    <t>Boisson à l'eau minérale ou de source, aromatisée, non sucrée, avec édulcorants</t>
  </si>
  <si>
    <t>Boisson à l'eau minérale ou de source, aromatisée, non sucrée, sans édulcorant</t>
  </si>
  <si>
    <t>Boisson à l'eau minérale ou de source, aromatisée, sucrée</t>
  </si>
  <si>
    <t>Boisson au jus de fruit et au lait</t>
  </si>
  <si>
    <t>Boisson au soja, aromatisée, sucrée</t>
  </si>
  <si>
    <t>Boisson au soja, aromatisée, sucrée, enrichie en calcium</t>
  </si>
  <si>
    <t>Boisson au soja, nature</t>
  </si>
  <si>
    <t>Boisson au soja, nature, enrichie en calcium</t>
  </si>
  <si>
    <t>Boisson au thé, aromatisée, non sucrée, avec édulcorants</t>
  </si>
  <si>
    <t>Boisson au thé, aromatisée, sucrée</t>
  </si>
  <si>
    <t>Boisson au thé, aromatisée, sucrée, avec édulcorants</t>
  </si>
  <si>
    <t>Boisson aux fruits pour bébé dès 4/6mois</t>
  </si>
  <si>
    <t>laits et boissons infantiles</t>
  </si>
  <si>
    <t>Boisson cacaotée ou au chocolat, instantanée, sucrée, enrichie en vitamines, prête à boire (reconstituée avec du lait demi-écrémé standard)</t>
  </si>
  <si>
    <t>Boisson cacaotée ou au chocolat, instantanée, sucrée, prête à boire (reconstituée avec du lait demi-écrémé standard)</t>
  </si>
  <si>
    <t>Boisson énergisante, non sucrée, avec édulcorants</t>
  </si>
  <si>
    <t>Boisson énergisante, sucrée</t>
  </si>
  <si>
    <t>Boisson gazeuse aux fruits (à moins de 10% de jus), non sucrée, avec édulcorants</t>
  </si>
  <si>
    <t>Boisson gazeuse aux fruits (à moins de 10% de jus), non sucrée, sans édulcorant</t>
  </si>
  <si>
    <t>Boisson gazeuse aux fruits (à moins de 10% de jus), sucrée</t>
  </si>
  <si>
    <t>Boisson gazeuse aux fruits (à moins de 10% de jus), sucrée, avec édulcorants</t>
  </si>
  <si>
    <t>Boisson gazeuse aux fruits (de 10 à 50% de jus), sucrée</t>
  </si>
  <si>
    <t>Boisson gazeuse, sans jus de fruit, sucrée</t>
  </si>
  <si>
    <t>Boisson gazeuse, sans jus de fruit, sucrée, avec édulcorants</t>
  </si>
  <si>
    <t>Boisson infantile céréales lactées aux fruits pour le goûter dès 4/6 mois</t>
  </si>
  <si>
    <t>Boisson infantile céréales lactées aux légumes pour dîner dès 4/6 mois</t>
  </si>
  <si>
    <t>Boisson infantile céréales lactées pour le petit déjeuner</t>
  </si>
  <si>
    <t>Boisson infantile céréales lactées pour le petit déjeuner dès 12 mois</t>
  </si>
  <si>
    <t>Boisson infantile céréales lactées pour le petit déjeuner dès 4/6 mois</t>
  </si>
  <si>
    <t>Boisson infantile céréales lactées pour le petit déjeuner dès 8/9 mois</t>
  </si>
  <si>
    <t>Boisson lactée aromatisée à la fraise, sucrée, au lait partiellement écrémé, enrichie à la vitamine D</t>
  </si>
  <si>
    <t>Boisson lactée aromatisée au chocolat, sucrée, au lait partiellement écrémé, enrichie et/ou restaurée en vitamines et/ou minéraux</t>
  </si>
  <si>
    <t>Boisson lactée, lait fermenté ou yaourt à boire, aromatisé, sucré</t>
  </si>
  <si>
    <t>produits laitiers frais et assimilés</t>
  </si>
  <si>
    <t>Boisson lactée, lait fermenté ou yaourt à boire, aux fruits, sucré</t>
  </si>
  <si>
    <t>Boisson lactée, lait fermenté ou yaourt à boire, nature, sucré, au L Casei</t>
  </si>
  <si>
    <t>Boisson plate aux fruits (10 à 50% de jus), à teneur réduite en sucres</t>
  </si>
  <si>
    <t>Boisson plate aux fruits (10 à 50% de jus), sucrée</t>
  </si>
  <si>
    <t>Boisson plate aux fruits (à moins de 10% de jus), sucrée</t>
  </si>
  <si>
    <t>Boisson plate aux fruits (teneur en jus non spécifiée), sucrée</t>
  </si>
  <si>
    <t>Boisson plate aux fruits, (à moins de 10% de jus), non sucrée, avec édulcorants</t>
  </si>
  <si>
    <t>Boisson préparée à partir de sirop à diluer type menthe, fraise, etc, sucré, dilué dans l'eau</t>
  </si>
  <si>
    <t>Bonbon / bouchée au chocolat fourrage gaufrettes / biscuit</t>
  </si>
  <si>
    <t>Bonbon au caramel, mou</t>
  </si>
  <si>
    <t>Bonbon dur et sucette</t>
  </si>
  <si>
    <t>Bonbon gélifié</t>
  </si>
  <si>
    <t>Bonite, crue</t>
  </si>
  <si>
    <t>Bouchée à la reine, à la viande/volaille/quenelle</t>
  </si>
  <si>
    <t>Bouchée à la reine, au poisson et fruits de mer</t>
  </si>
  <si>
    <t>Bouchée chocolat fourrage fruits à coques et/ou praliné</t>
  </si>
  <si>
    <t>Bouchées ou émincé au soja et blé (ne convient pas aux véganes ou végétaliens), préemballé</t>
  </si>
  <si>
    <t>substituts de viande</t>
  </si>
  <si>
    <t>25224</t>
  </si>
  <si>
    <t>Boudin blanc truffé, cru</t>
  </si>
  <si>
    <t>Boudin noir, rayon frais</t>
  </si>
  <si>
    <t>Boudin noir, sauté/poêlé</t>
  </si>
  <si>
    <t>Bouillon de boeuf, déshydraté reconstitué</t>
  </si>
  <si>
    <t>soupes</t>
  </si>
  <si>
    <t>Bouillon de légumes, déshydraté reconstitué</t>
  </si>
  <si>
    <t>Bouillon de volaille</t>
  </si>
  <si>
    <t>Boules de maïs soufflées au miel (non enrichies en vitamines et minéraux)</t>
  </si>
  <si>
    <t>Boules de maïs soufflées au miel, enrichies en vitamines et minéraux</t>
  </si>
  <si>
    <t>Boulette végétale au soja et/ou blé, préemballée</t>
  </si>
  <si>
    <t>plats végétariens</t>
  </si>
  <si>
    <t>25589</t>
  </si>
  <si>
    <t>Boulettes au bœuf, à la sauce tomate</t>
  </si>
  <si>
    <t>Boulgour de blé, cru</t>
  </si>
  <si>
    <t>Boulgour de blé, cuit, non salé</t>
  </si>
  <si>
    <t>Brème, cru</t>
  </si>
  <si>
    <t>Bresaola</t>
  </si>
  <si>
    <t>Brick à la pomme de terre</t>
  </si>
  <si>
    <t>Brick à l'oeuf</t>
  </si>
  <si>
    <t>Brick au boeuf</t>
  </si>
  <si>
    <t>Brick garni (garniture : crevettes, légumes, volaille, viande, poisson, etc.)</t>
  </si>
  <si>
    <t>Brie de Meaux</t>
  </si>
  <si>
    <t>Brie de Melun</t>
  </si>
  <si>
    <t>Brie, sans précision</t>
  </si>
  <si>
    <t>Brioche aux pépites de chocolat</t>
  </si>
  <si>
    <t>Brioche fourrée au chocolat</t>
  </si>
  <si>
    <t>Brioche fourrée aux fruits</t>
  </si>
  <si>
    <t>Brioche fourrée crème pâtissière (type "chinois"), préemballée</t>
  </si>
  <si>
    <t>Brioche pur beurre</t>
  </si>
  <si>
    <t>Brioche, de boulangerie traditionnelle</t>
  </si>
  <si>
    <t>Brioche, préemballée</t>
  </si>
  <si>
    <t>Brioche, sans précision</t>
  </si>
  <si>
    <t>Brochette d'agneau</t>
  </si>
  <si>
    <t>Brochette de boeuf</t>
  </si>
  <si>
    <t>Brochette de poisson</t>
  </si>
  <si>
    <t>Brochette de porc, crue</t>
  </si>
  <si>
    <t>Brochette de volaille</t>
  </si>
  <si>
    <t>Brochette mixte de viande</t>
  </si>
  <si>
    <t>Brocoli, cru</t>
  </si>
  <si>
    <t>Brocoli, cuit</t>
  </si>
  <si>
    <t>Brocoli, purée</t>
  </si>
  <si>
    <t>Brocoli, surgelé, cru</t>
  </si>
  <si>
    <t>Brocoli, surgelé, cuit</t>
  </si>
  <si>
    <t>Brownie au chocolat</t>
  </si>
  <si>
    <t>Bûche de Noël pâtissière</t>
  </si>
  <si>
    <t>Bûche glacée</t>
  </si>
  <si>
    <t>desserts glacés</t>
  </si>
  <si>
    <t>Burger au poisson</t>
  </si>
  <si>
    <t>Burger au poulet</t>
  </si>
  <si>
    <t>Burger végétarien</t>
  </si>
  <si>
    <t>Burritos</t>
  </si>
  <si>
    <t>Cabillaud, cru</t>
  </si>
  <si>
    <t>Cabillaud, cuit à la vapeur</t>
  </si>
  <si>
    <t>Cabillaud, rôti/cuit au four</t>
  </si>
  <si>
    <t>Cacahuète ou Arachide</t>
  </si>
  <si>
    <t>Cacahuète, grillée</t>
  </si>
  <si>
    <t>Cacahuète, grillée, salée</t>
  </si>
  <si>
    <t>Cacahuètes (arachide) enrobées d'un biscuit, pour apéritif</t>
  </si>
  <si>
    <t>Cacahuètes enrobées de chocolat dragéifiées</t>
  </si>
  <si>
    <t>Cacao, non sucré, poudre soluble</t>
  </si>
  <si>
    <t>Café au lait ou cappuccino au chocolat, poudre soluble</t>
  </si>
  <si>
    <t>Café au lait ou cappuccino, poudre soluble</t>
  </si>
  <si>
    <t>Café au lait, café crème ou cappuccino, instantané ou non, non sucré, prêt à boire</t>
  </si>
  <si>
    <t>Café décaféiné, instantané, non sucré, prêt à boire</t>
  </si>
  <si>
    <t>Café décaféiné, non instantané, non sucré, prêt à boire</t>
  </si>
  <si>
    <t>Café expresso, non instantané, non sucré, prêt à boire</t>
  </si>
  <si>
    <t>Café, décaféiné, poudre soluble</t>
  </si>
  <si>
    <t>Café, instantané, non sucré, prêt à boire</t>
  </si>
  <si>
    <t>Café, non instantané, non sucré, prêt à boire</t>
  </si>
  <si>
    <t>Café, poudre soluble</t>
  </si>
  <si>
    <t>Caille, viande et peau, cuite</t>
  </si>
  <si>
    <t>Cake aux fruits</t>
  </si>
  <si>
    <t>Cake salé (garniture : fromage, légumes, viande, poisson, volaille, etc.)</t>
  </si>
  <si>
    <t>Calissons d'Aix en Provence</t>
  </si>
  <si>
    <t>Calmar ou Calamar ou encornet, à la romaine (beignet)</t>
  </si>
  <si>
    <t>Calmar ou calamar ou encornet, bouilli/cuit à l'eau</t>
  </si>
  <si>
    <t>mollusques et crustacés cuits</t>
  </si>
  <si>
    <t>Calmar ou calamar ou encornet, cru</t>
  </si>
  <si>
    <t>mollusques et crustacés crus</t>
  </si>
  <si>
    <t>Calmar ou calamar ou encornet, frit ou poêlé avec matière grasse</t>
  </si>
  <si>
    <t>Camembert au lait cru</t>
  </si>
  <si>
    <t>Camembert, sans précision</t>
  </si>
  <si>
    <t>Canard en sauce (poivre vert, chasseur, etc.)</t>
  </si>
  <si>
    <t>Canard, cuisse avec peau, sans os, crue</t>
  </si>
  <si>
    <t>Canard, magret fumé</t>
  </si>
  <si>
    <t>Canard, magret, cru</t>
  </si>
  <si>
    <t>Canard, magret, grillé/poêlé</t>
  </si>
  <si>
    <t>Canard, viande et peau, cru</t>
  </si>
  <si>
    <t>Canard, viande et peau, rôti/cuit au four</t>
  </si>
  <si>
    <t>Canard, viande, crue</t>
  </si>
  <si>
    <t>Canard, viande, rôtie/cuite au four</t>
  </si>
  <si>
    <t>Canelé</t>
  </si>
  <si>
    <t>Canneberge ou cranberry, crue</t>
  </si>
  <si>
    <t>Cannelle, poudre</t>
  </si>
  <si>
    <t>épices</t>
  </si>
  <si>
    <t>Cantal entre-deux</t>
  </si>
  <si>
    <t>Cantal, Salers ou Laguiole</t>
  </si>
  <si>
    <t>Capelan, cru</t>
  </si>
  <si>
    <t>Carambole, pulpe, crue</t>
  </si>
  <si>
    <t>Carangue, cru</t>
  </si>
  <si>
    <t>Cardamome, poudre</t>
  </si>
  <si>
    <t>Cardine franche, crue</t>
  </si>
  <si>
    <t>Cardon, cru</t>
  </si>
  <si>
    <t>Cardon, cuit</t>
  </si>
  <si>
    <t>Carotte, appertisée, égouttée</t>
  </si>
  <si>
    <t>Carotte, crue</t>
  </si>
  <si>
    <t>Carotte, cuite</t>
  </si>
  <si>
    <t>Carotte, purée</t>
  </si>
  <si>
    <t>Carotte, surgelée, crue</t>
  </si>
  <si>
    <t>Carotte, surgelée, cuite</t>
  </si>
  <si>
    <t>Carottes râpées, avec sauce, préemballées</t>
  </si>
  <si>
    <t>Carpaccio de saumon avec marinade</t>
  </si>
  <si>
    <t>Carpe, crue, élevage</t>
  </si>
  <si>
    <t>Carpe, rôtie/cuite au four</t>
  </si>
  <si>
    <t>Carré de l'Est</t>
  </si>
  <si>
    <t>Carrelet ou plie, cuit à la vapeur</t>
  </si>
  <si>
    <t>Carrelet ou plie, pané, frit</t>
  </si>
  <si>
    <t>Carvi, graine</t>
  </si>
  <si>
    <t>Cassis, cru</t>
  </si>
  <si>
    <t>Cassoulet au canard ou oie, appertisé</t>
  </si>
  <si>
    <t>Cassoulet au porc, appertisé</t>
  </si>
  <si>
    <t>Cassoulet, appertisé</t>
  </si>
  <si>
    <t>Céleri branche, appertisé, égoutté</t>
  </si>
  <si>
    <t>Céleri branche, cru</t>
  </si>
  <si>
    <t>Céleri branche, cuit</t>
  </si>
  <si>
    <t>Céleri rémoulade, préemballé</t>
  </si>
  <si>
    <t>salades composées et crudités</t>
  </si>
  <si>
    <t>Céleri-rave, cru</t>
  </si>
  <si>
    <t>Céleri-rave, cuit</t>
  </si>
  <si>
    <t>Céleri-rave, purée</t>
  </si>
  <si>
    <t>Céréales chocolatées pour petit déjeuner, non fourrées, (non enrichies en vitamines et minéraux)</t>
  </si>
  <si>
    <t>Céréales complètes soufflées, enrichies en vitamines et minéraux</t>
  </si>
  <si>
    <t>Céréales instantanées, poudre à reconstituer, dès 4/6 mois</t>
  </si>
  <si>
    <t>Céréales instantanées, poudre à reconstituer, dès 6 mois</t>
  </si>
  <si>
    <t>Céréales pour petit déjeuner "équilibre" au chocolat (non enrichies en vitamines et minéraux)</t>
  </si>
  <si>
    <t>Céréales pour petit déjeuner "équilibre" au chocolat, enrichies en vitamines et minéraux</t>
  </si>
  <si>
    <t>Céréales pour petit déjeuner "équilibre" aux fruits (non enrichies en vitamines et minéraux)</t>
  </si>
  <si>
    <t>Céréales pour petit déjeuner "équilibre" aux fruits secs (à coque), enrichis en vitamines et minéraux</t>
  </si>
  <si>
    <t>Céréales pour petit déjeuner "équilibre" aux fruits, enrichies en vitamines et minéraux</t>
  </si>
  <si>
    <t>Céréales pour petit déjeuner "équilibre" nature (non enrichies en vitamines et minéraux)</t>
  </si>
  <si>
    <t>Céréales pour petit déjeuner "équilibre" nature ou au miel, enrichies en vitamines et minéraux</t>
  </si>
  <si>
    <t>Céréales pour petit déjeuner chocolatées, non fourrées, enrichies en vitamines et minéraux</t>
  </si>
  <si>
    <t>Céréales pour petit déjeuner fourrées au chocolat ou chocolat-noisettes</t>
  </si>
  <si>
    <t>Céréales pour petit déjeuner fourrées au chocolat ou chocolat-noisettes, enrichies en vitamines et minéraux</t>
  </si>
  <si>
    <t>Céréales pour petit déjeuner fourrées, fourrage autre que chocolat, enrichies en vitamines et minéraux</t>
  </si>
  <si>
    <t>Céréales pour petit déjeuner riches en fibres, au chocolat, enrichies en vitamines et minéraux</t>
  </si>
  <si>
    <t>Céréales pour petit déjeuner riches en fibres, avec ou sans fruits, enrichies en vitamines et minéraux</t>
  </si>
  <si>
    <t>Céréales pour petit déjeuner très riches en fibres, enrichies en vitamines et minéraux</t>
  </si>
  <si>
    <t>Cerfeuil, frais</t>
  </si>
  <si>
    <t>Cerise, dénoyautée, crue</t>
  </si>
  <si>
    <t>Cervelas</t>
  </si>
  <si>
    <t>Cervelas à l'ail, pur porc</t>
  </si>
  <si>
    <t>Cervelas obernois</t>
  </si>
  <si>
    <t>Cervelle, agneau, crue</t>
  </si>
  <si>
    <t>Cervelle, agneau, cuite</t>
  </si>
  <si>
    <t>Cervelle, porc, braisée</t>
  </si>
  <si>
    <t>Cervelle, porc, crue</t>
  </si>
  <si>
    <t>Cervelle, veau, crue</t>
  </si>
  <si>
    <t>Cervelle, veau, cuite</t>
  </si>
  <si>
    <t>Chabichou (fromage de chèvre)</t>
  </si>
  <si>
    <t>Chair à saucisse, crue</t>
  </si>
  <si>
    <t>Chair à saucisse, porc et bœuf, crue</t>
  </si>
  <si>
    <t>Chair à saucisse, pur porc, crue</t>
  </si>
  <si>
    <t>Champignon à la grecque</t>
  </si>
  <si>
    <t>Champignon, morille, crue</t>
  </si>
  <si>
    <t>Chaource</t>
  </si>
  <si>
    <t>Chapon, viande et peau, cru</t>
  </si>
  <si>
    <t>Chapon, viande et peau, rôti/cuit au four</t>
  </si>
  <si>
    <t>Charlotte aux fruits</t>
  </si>
  <si>
    <t>Châtaigne ou Marron, appertisé</t>
  </si>
  <si>
    <t>Châtaigne, bouillie/cuite à l'eau</t>
  </si>
  <si>
    <t>Châtaigne, crue</t>
  </si>
  <si>
    <t>Châtaigne, grillée</t>
  </si>
  <si>
    <t>Chausson aux pommes</t>
  </si>
  <si>
    <t>Cheddar</t>
  </si>
  <si>
    <t>Cheeseburger, provenant de fast food</t>
  </si>
  <si>
    <t>Cheesecake ou Gâteau au fromage frais, rayon frais</t>
  </si>
  <si>
    <t>Chevreau, cru</t>
  </si>
  <si>
    <t>Chevreau, cuit</t>
  </si>
  <si>
    <t>Chevrot (fromage de chèvre)</t>
  </si>
  <si>
    <t>Chia, graine, séchée</t>
  </si>
  <si>
    <t>Chicorée et café, instantané, non sucré, prêt à boire (reconstituée avec de l'eau)</t>
  </si>
  <si>
    <t>Chicorée et café, instantané, non sucré, prête à boire (reconstituée avec du lait demi-écrémé standard)</t>
  </si>
  <si>
    <t>Chicorée et café, poudre soluble</t>
  </si>
  <si>
    <t>Chicorée rouge, crue</t>
  </si>
  <si>
    <t>Chicorée verte, crue</t>
  </si>
  <si>
    <t>Chicorée, instantanée, non sucrée, prête à boire (reconstituée avec du lait demi-écrémé standard)</t>
  </si>
  <si>
    <t>Chicorée, poudre soluble, non réhydratée</t>
  </si>
  <si>
    <t>Chicorée, poudre soluble, réhydratée</t>
  </si>
  <si>
    <t>Chili con carne</t>
  </si>
  <si>
    <t>Chinchard gras, cru</t>
  </si>
  <si>
    <t>Chinchard maigre, cru</t>
  </si>
  <si>
    <t>Chinchard, cru</t>
  </si>
  <si>
    <t>Chipolata, crue</t>
  </si>
  <si>
    <t>Chipolata, cuite</t>
  </si>
  <si>
    <t>Chips de crevette</t>
  </si>
  <si>
    <t>Chips de maïs ou tortilla chips</t>
  </si>
  <si>
    <t>Chips de pommes de terre et assimilés, allégées en matière grasse</t>
  </si>
  <si>
    <t>Chips de pommes de terre, à l'ancienne</t>
  </si>
  <si>
    <t>Chips de pommes de terre, standard</t>
  </si>
  <si>
    <t>Chocolat au lait aux céréales croustillantes, tablette</t>
  </si>
  <si>
    <t>Chocolat au lait aux fruits secs (noisettes, amandes, raisins, praline), tablette</t>
  </si>
  <si>
    <t>Chocolat au lait fourré</t>
  </si>
  <si>
    <t>Chocolat au lait fourré au praliné, tablette</t>
  </si>
  <si>
    <t>Chocolat au lait sans sucres ajoutés, avec édulcorants, tablette</t>
  </si>
  <si>
    <t>Chocolat au lait, tablette</t>
  </si>
  <si>
    <t>Chocolat blanc aux fruits secs (noisettes, amandes, raisins, praliné) , tablette</t>
  </si>
  <si>
    <t>Chocolat blanc, tablette</t>
  </si>
  <si>
    <t>Chocolat noir à 40% de cacao minimum, à pâtisser, tablette</t>
  </si>
  <si>
    <t>Chocolat noir à 70% cacao minimum, extra, dégustation, tablette</t>
  </si>
  <si>
    <t>Chocolat noir à moins de 70% de cacao, à croquer, tablette</t>
  </si>
  <si>
    <t>Chocolat noir aux fruits (orange, framboise, poire), tablette</t>
  </si>
  <si>
    <t>Chocolat noir aux fruits secs (noisettes, amandes, raisins, praline), tablette</t>
  </si>
  <si>
    <t>Chocolat noir fourrage confiseur à la menthe</t>
  </si>
  <si>
    <t>Chocolat noir fourré praliné, tablette</t>
  </si>
  <si>
    <t>Chocolat noir sans sucres ajoutés, avec édulcorants, en tablette</t>
  </si>
  <si>
    <t>Chorizo</t>
  </si>
  <si>
    <t>Chorizo supérieur, doux ou fort, type charcuterie en tranches</t>
  </si>
  <si>
    <t>Chorizo supérieur, doux ou fort, type saucisse sèche</t>
  </si>
  <si>
    <t>Chou à la crème (chantilly ou pâtissière)</t>
  </si>
  <si>
    <t>Chou à la crème chantilly</t>
  </si>
  <si>
    <t>Chou à la crème pâtissière</t>
  </si>
  <si>
    <t>Chou blanc, cru</t>
  </si>
  <si>
    <t>Chou chinois (pak-choi ou pé-tsai), cuit</t>
  </si>
  <si>
    <t>Chou chinois ou pak-choi ou pé-tsai, cru</t>
  </si>
  <si>
    <t>Chou de Bruxelles, appertisé, égoutté</t>
  </si>
  <si>
    <t>Chou de Bruxelles, cru</t>
  </si>
  <si>
    <t>Chou de Bruxelles, cuit</t>
  </si>
  <si>
    <t>Chou de Bruxelles, surgelé, cru</t>
  </si>
  <si>
    <t>Chou de Bruxelles, surgelé, cuit</t>
  </si>
  <si>
    <t>Chou farci</t>
  </si>
  <si>
    <t>Chou frisé, cru</t>
  </si>
  <si>
    <t>Chou frisé, cuit</t>
  </si>
  <si>
    <t>Chou romanesco ou brocoli à pomme, cru</t>
  </si>
  <si>
    <t>Chou rouge, bouilli/cuit à l'eau</t>
  </si>
  <si>
    <t>Chou rouge, cru</t>
  </si>
  <si>
    <t>Chou vert, cru</t>
  </si>
  <si>
    <t>Chou vert, cuit</t>
  </si>
  <si>
    <t>Choucroute garnie</t>
  </si>
  <si>
    <t>Choucroute, sans garniture, égouttée</t>
  </si>
  <si>
    <t>Chou-fleur, cru</t>
  </si>
  <si>
    <t>Chou-fleur, cuit</t>
  </si>
  <si>
    <t>Chou-fleur, surgelé, cru</t>
  </si>
  <si>
    <t>Chou-fleur, surgelé, cuit</t>
  </si>
  <si>
    <t>Chouquette</t>
  </si>
  <si>
    <t>Chou-rave, bouilli/cuit à l'eau</t>
  </si>
  <si>
    <t>Chou-rave, cru</t>
  </si>
  <si>
    <t>Ciboule ou Ciboulette, fraîche</t>
  </si>
  <si>
    <t>Cidre aromatisé (framboise)</t>
  </si>
  <si>
    <t>Cidre bouché demi-sec</t>
  </si>
  <si>
    <t>Cidre brut</t>
  </si>
  <si>
    <t>Cidre doux</t>
  </si>
  <si>
    <t>Cidre traditionnel</t>
  </si>
  <si>
    <t>Cigarette</t>
  </si>
  <si>
    <t>Citron givré ou Orange givrée (sorbet)</t>
  </si>
  <si>
    <t>Citron ou Lime, spécialité à diluer pour boissons, sans sucres ajoutés</t>
  </si>
  <si>
    <t>Citron vert ou Lime, pulpe, cru</t>
  </si>
  <si>
    <t>Citron, pulpe, cru</t>
  </si>
  <si>
    <t>Citron, zeste, cru</t>
  </si>
  <si>
    <t>Citrouille, pulpe, crue</t>
  </si>
  <si>
    <t>Clafoutis aux fruits, rayon frais</t>
  </si>
  <si>
    <t>Clémentine, pulpe, crue</t>
  </si>
  <si>
    <t>Clou de girofle</t>
  </si>
  <si>
    <t>Cocktail à base de rhum</t>
  </si>
  <si>
    <t>Cocktail à base de whisky</t>
  </si>
  <si>
    <t>Cocktail sans alcool (à base de jus de fruits et de sirop)</t>
  </si>
  <si>
    <t>Cocktail type punch, 16% alcool</t>
  </si>
  <si>
    <t>Coeur de palmier, appertisé, égoutté</t>
  </si>
  <si>
    <t>Coeur, agneau, cru</t>
  </si>
  <si>
    <t>Coeur, agneau, cuit</t>
  </si>
  <si>
    <t>Coeur, boeuf, cru</t>
  </si>
  <si>
    <t>Coeur, boeuf, cuit</t>
  </si>
  <si>
    <t>Coeur, dinde, cru</t>
  </si>
  <si>
    <t>Coeur, dinde, cuit</t>
  </si>
  <si>
    <t>Coeur, porc, cru</t>
  </si>
  <si>
    <t>Coeur, poulet, cru</t>
  </si>
  <si>
    <t>Coeur, poulet, cuit</t>
  </si>
  <si>
    <t>Coeur, veau, cru</t>
  </si>
  <si>
    <t>Coing, cru</t>
  </si>
  <si>
    <t>Cola, non sucré, avec édulcorants</t>
  </si>
  <si>
    <t>Cola, non sucré, avec édulcorants, sans caféine</t>
  </si>
  <si>
    <t>Cola, sucré</t>
  </si>
  <si>
    <t>Cola, sucré, avec édulcorants</t>
  </si>
  <si>
    <t>Cola, sucré, sans caféine</t>
  </si>
  <si>
    <t>Compote de pomme</t>
  </si>
  <si>
    <t>Compote, tout type de fruits</t>
  </si>
  <si>
    <t>Compote, tout type de fruits, allégée en sucres</t>
  </si>
  <si>
    <t>Compote, tout type de fruits, allégée en sucres, rayon frais</t>
  </si>
  <si>
    <t>Comté</t>
  </si>
  <si>
    <t>Concombre, pulpe et peau, cru</t>
  </si>
  <si>
    <t>Concombre, pulpe, cru</t>
  </si>
  <si>
    <t>Cône ou cornet classique, pour glace</t>
  </si>
  <si>
    <t>Confiserie au chocolat dragéifiée</t>
  </si>
  <si>
    <t>Confit de canard</t>
  </si>
  <si>
    <t>Confit de canard, viande (cuisse), sans peau, réchauffé</t>
  </si>
  <si>
    <t>Confit de foie de porc</t>
  </si>
  <si>
    <t>Confit de foie de volaille</t>
  </si>
  <si>
    <t>Confiture d'abricot (extra ou classique)</t>
  </si>
  <si>
    <t>confitures et assimilés</t>
  </si>
  <si>
    <t>Confiture de cerise (extra ou classique)</t>
  </si>
  <si>
    <t>Confiture de fraise (extra ou classique)</t>
  </si>
  <si>
    <t>Confiture de framboise (extra ou classique)</t>
  </si>
  <si>
    <t>Confiture de lait</t>
  </si>
  <si>
    <t>Confiture, tout type de fruits, allégée en sucres (extra ou classique)</t>
  </si>
  <si>
    <t>Congre, cru</t>
  </si>
  <si>
    <t>Cookie aux pépites de chocolat</t>
  </si>
  <si>
    <t>Coppa</t>
  </si>
  <si>
    <t>Coq au vin</t>
  </si>
  <si>
    <t>Coquille Saint-Jacques, noix et corail, crue</t>
  </si>
  <si>
    <t>Coquille Saint-Jacques, noix et corail, cuite</t>
  </si>
  <si>
    <t>Coquille Saint-Jacques, noix, crue</t>
  </si>
  <si>
    <t>Corb, cru</t>
  </si>
  <si>
    <t>Cordon bleu de volaille</t>
  </si>
  <si>
    <t>Coriandre, fraiche</t>
  </si>
  <si>
    <t>Coriandre, graine</t>
  </si>
  <si>
    <t>Corne de gazelle (pâtisserie orientale aux amandes et sirop)</t>
  </si>
  <si>
    <t>Coulirou, cru</t>
  </si>
  <si>
    <t>Coulis de fraise</t>
  </si>
  <si>
    <t>0003</t>
  </si>
  <si>
    <t>Coulis de framboise</t>
  </si>
  <si>
    <t>0004</t>
  </si>
  <si>
    <t>Coulommiers</t>
  </si>
  <si>
    <t>Coupe glacée parfum pêche Melba ou poire Belle-Hélène</t>
  </si>
  <si>
    <t>Coupe glacée type café ou chocolat liégeois</t>
  </si>
  <si>
    <t>Courge doubeurre (butternut), pulpe, crue</t>
  </si>
  <si>
    <t>Courge hokkaïdo, pulpe, crue</t>
  </si>
  <si>
    <t>Courge melonnette, pulpe, crue</t>
  </si>
  <si>
    <t>Courge musquée, pulpe, crue</t>
  </si>
  <si>
    <t>Courge spaghetti, pulpe, crue</t>
  </si>
  <si>
    <t>Courge spaghetti, pulpe, cuite</t>
  </si>
  <si>
    <t>Courge, crue</t>
  </si>
  <si>
    <t>Courgette, pulpe et peau, crue</t>
  </si>
  <si>
    <t>Courgette, pulpe et peau, cuite</t>
  </si>
  <si>
    <t>Courgette, pulpe et peau, surgelée, crue</t>
  </si>
  <si>
    <t>Courgette, purée</t>
  </si>
  <si>
    <t>Couronne de Noël (Brioche) aux fruits confits, préemballée</t>
  </si>
  <si>
    <t>Court-bouillon pour poissons, déshydraté</t>
  </si>
  <si>
    <t>aides culinaires</t>
  </si>
  <si>
    <t>Couscous (semoule de blé dur roulée précuite à la vapeur), crue</t>
  </si>
  <si>
    <t>Couscous (semoule de blé dur roulée précuite à la vapeur), cuite, non salée</t>
  </si>
  <si>
    <t>Couscous à la viande</t>
  </si>
  <si>
    <t>Couscous à la viande ou au poulet, allégé</t>
  </si>
  <si>
    <t>Couscous au mouton</t>
  </si>
  <si>
    <t>Couscous au poisson</t>
  </si>
  <si>
    <t>Couscous au poulet</t>
  </si>
  <si>
    <t>Couscous de légumes</t>
  </si>
  <si>
    <t>Couscous royal (avec plusieurs viandes)</t>
  </si>
  <si>
    <t>Crabe ou Tourteau, bouilli/cuit à l'eau</t>
  </si>
  <si>
    <t>Crème anglaise, préemballée</t>
  </si>
  <si>
    <t>sauces</t>
  </si>
  <si>
    <t>Crème aux œufs (petit pot de crème chocolat, vanille, etc.), rayon frais</t>
  </si>
  <si>
    <t>Crème brûlée, rayon frais</t>
  </si>
  <si>
    <t>Crème caramel, rayon frais</t>
  </si>
  <si>
    <t>Crème chantilly, sous pression, UHT</t>
  </si>
  <si>
    <t>crèmes et spécialités à base de crème</t>
  </si>
  <si>
    <t>Crème de cassis</t>
  </si>
  <si>
    <t>Crème de lait, 15 à 20% MG, légère, épaisse, rayon frais</t>
  </si>
  <si>
    <t>Crème de lait, 15 à 20% MG, légère, semi-épaisse, UHT</t>
  </si>
  <si>
    <t>Crème de lait, 30% MG, épaisse, rayon frais</t>
  </si>
  <si>
    <t>Crème de lait, 30% MG, semi-épaisse, UHT</t>
  </si>
  <si>
    <t>Crème de marrons</t>
  </si>
  <si>
    <t>Crème de marrons vanillée, appertisée</t>
  </si>
  <si>
    <t>Crème dessert à la vanille, appertisée</t>
  </si>
  <si>
    <t>Crème dessert à la vanille, rayon frais</t>
  </si>
  <si>
    <t>Crème dessert au café, rayon frais</t>
  </si>
  <si>
    <t>Crème dessert au caramel, rayon frais</t>
  </si>
  <si>
    <t>Crème dessert au chocolat, appertisée</t>
  </si>
  <si>
    <t>Crème dessert au chocolat, rayon frais</t>
  </si>
  <si>
    <t>Crème dessert, allégée en MG, rayon frais</t>
  </si>
  <si>
    <t>Crème pâtissière</t>
  </si>
  <si>
    <t>Crêpe dentelle</t>
  </si>
  <si>
    <t>Crêpe dentelle (pour apéritif) au fromage, préemballée</t>
  </si>
  <si>
    <t>Crêpe dentelle au chocolat, préemballée</t>
  </si>
  <si>
    <t>Crêpe maison, fourrée à la confiture</t>
  </si>
  <si>
    <t>Crêpe maison, fourrée au chocolat ou à la pâte à tartiner chocolat et noisettes</t>
  </si>
  <si>
    <t>Crêpe ou Galette aux noix de St Jacques</t>
  </si>
  <si>
    <t>Crêpe ou Galette complète (œuf, jambon, fromage)</t>
  </si>
  <si>
    <t>Crêpe ou Galette fourrée au poisson et / ou fruits de mer</t>
  </si>
  <si>
    <t>Crêpe ou Galette fourrée béchamel champignon</t>
  </si>
  <si>
    <t>Crêpe ou Galette fourrée béchamel champignon, cuite</t>
  </si>
  <si>
    <t>Crêpe ou Galette fourrée béchamel fromage</t>
  </si>
  <si>
    <t>Crêpe ou Galette fourrée béchamel jambon</t>
  </si>
  <si>
    <t>Crêpe ou Galette fourrée béchamel jambon fromage</t>
  </si>
  <si>
    <t>Crêpe ou Galette fourrée béchamel jambon fromage champignon</t>
  </si>
  <si>
    <t>Crêpe préemballée, fourrée au sucre</t>
  </si>
  <si>
    <t>Crêpe préemballée, fourrée chocolat</t>
  </si>
  <si>
    <t>Crêpe préemballée, fourrée fraise</t>
  </si>
  <si>
    <t>Crêpe, nature, préemballée, rayon frais</t>
  </si>
  <si>
    <t>Crêpe, nature, préemballée, rayon température ambiante</t>
  </si>
  <si>
    <t>Cresson alénois, cru</t>
  </si>
  <si>
    <t>Cresson de fontaine, cru</t>
  </si>
  <si>
    <t>Crevette rose, crue</t>
  </si>
  <si>
    <t>Crevette, crue</t>
  </si>
  <si>
    <t>Crevette, cuite</t>
  </si>
  <si>
    <t>Crevette, surgelée, crue</t>
  </si>
  <si>
    <t>Croissant au beurre, artisanal</t>
  </si>
  <si>
    <t>Croissant au jambon</t>
  </si>
  <si>
    <t>Croissant au jambon fromage</t>
  </si>
  <si>
    <t>Croissant aux amandes, artisanal</t>
  </si>
  <si>
    <t>Croissant ordinaire, artisanal</t>
  </si>
  <si>
    <t>Croissant, sans précision</t>
  </si>
  <si>
    <t>Croque-madame</t>
  </si>
  <si>
    <t>Croque-monsieur</t>
  </si>
  <si>
    <t>Croque-monsieur, rayon frais</t>
  </si>
  <si>
    <t>Crosne, surgelé, cru</t>
  </si>
  <si>
    <t>Crottin de Chavignol (fromage de chèvre)</t>
  </si>
  <si>
    <t>Crottin de chèvre, au lait cru</t>
  </si>
  <si>
    <t>Crottin de chèvre, sans précision</t>
  </si>
  <si>
    <t>Croûton à l'ail aux fines herbes ou aux oignons, préemballé</t>
  </si>
  <si>
    <t>Croûtons</t>
  </si>
  <si>
    <t>Croûtons nature, préemballés</t>
  </si>
  <si>
    <t>Crumble aux pommes</t>
  </si>
  <si>
    <t>Cucurbitacées, graine</t>
  </si>
  <si>
    <t>Cumin, graine</t>
  </si>
  <si>
    <t>Curcuma, poudre</t>
  </si>
  <si>
    <t>Curry, poudre</t>
  </si>
  <si>
    <t>Datte, pulpe et peau, sèche</t>
  </si>
  <si>
    <t>Denté, cru</t>
  </si>
  <si>
    <t>Dés, allumettes, râpé ou haché de jambon</t>
  </si>
  <si>
    <t>Dés, allumettes, râpé ou haché de jambon de volaille</t>
  </si>
  <si>
    <t>Dessert au soja aromatisé, rayon frais</t>
  </si>
  <si>
    <t>Dessert au soja, aux fruits, rayon frais</t>
  </si>
  <si>
    <t>Dessert au soja, nature, rayon frais</t>
  </si>
  <si>
    <t>Dessert de fruits, tout type de fruits (en taux de sucres : compotes allégées en sucres &lt; desserts de fruits &lt; compotes allégée)</t>
  </si>
  <si>
    <t>Dessert glacé feuilleté, à partager</t>
  </si>
  <si>
    <t>Dessert glacé type mystère ou vacherin</t>
  </si>
  <si>
    <t>Dessert glacé, type sundae</t>
  </si>
  <si>
    <t>Dessert lacté infantile au riz ou à la semoule</t>
  </si>
  <si>
    <t>desserts infantiles</t>
  </si>
  <si>
    <t>Dessert lacté infantile nature sucré ou aux fruits</t>
  </si>
  <si>
    <t>Dessert lacté infantile type crème dessert</t>
  </si>
  <si>
    <t>Diabolo (limonade et sirop)</t>
  </si>
  <si>
    <t>Dinde, aile, crue</t>
  </si>
  <si>
    <t>Dinde, cuisse, viande et peau, crue</t>
  </si>
  <si>
    <t>Dinde, cuisse, viande sans peau, crue</t>
  </si>
  <si>
    <t>Dinde, escalope viennoise ou milanaise ou escalope panée</t>
  </si>
  <si>
    <t>Dinde, escalope, crue</t>
  </si>
  <si>
    <t>Dinde, escalope, rôtie/cuite au four</t>
  </si>
  <si>
    <t>Dinde, escalope, sautée/poêlée</t>
  </si>
  <si>
    <t>Dinde, viande et peau, crue</t>
  </si>
  <si>
    <t>Dinde, viande, crue</t>
  </si>
  <si>
    <t>Dinde, viande, rôtie/cuite au four</t>
  </si>
  <si>
    <t>Diot, cru</t>
  </si>
  <si>
    <t>Dorade grise, ou daurade grise, ou griset, crue</t>
  </si>
  <si>
    <t>Dorade grise, ou daurade grise, ou griset, rôtie/cuite au four</t>
  </si>
  <si>
    <t>Dorade rose, ou daurade rose, crue</t>
  </si>
  <si>
    <t>Dorade royale ou daurade ou vraie daurade, crue, élevage</t>
  </si>
  <si>
    <t>Dorade royale, ou daurade ou vraie daurade, crue, sauvage</t>
  </si>
  <si>
    <t>Double cheeseburger, provenant de fast food</t>
  </si>
  <si>
    <t>Dragée amande</t>
  </si>
  <si>
    <t>Dulse (Palmaria palmata), séchée ou déshydratée</t>
  </si>
  <si>
    <t>Eau de source Cristaline, embouteillée, non gazeuse</t>
  </si>
  <si>
    <t>Eau de source Ogeu, embouteillée, faiblement minéralisée (Ogeu, 64)</t>
  </si>
  <si>
    <t>Eau de vie</t>
  </si>
  <si>
    <t>Eau de vie de vin, type armagnac, cognac</t>
  </si>
  <si>
    <t>Eau embouteillée de source</t>
  </si>
  <si>
    <t>Eau minérale Abatilles, embouteillée, non gazeuse, faiblement minéralisée (Arcachon, 33)</t>
  </si>
  <si>
    <t>Eau minérale Aix-les-Bains, embouteillée, non gazeuse, faiblement minéralisée (Aix-les-Bains, 73)</t>
  </si>
  <si>
    <t>Eau minérale Aizac, embouteillée, gazeuse, faiblement minéralisée (Aizac, 07)</t>
  </si>
  <si>
    <t>Eau minérale Amanda, embouteillée, non gazeuse, fortement minéralisée (St-Amand, 59)</t>
  </si>
  <si>
    <t>Eau minérale Appollinaris, embouteillée, non gazeuse, fortement minéralisée (Allemagne)</t>
  </si>
  <si>
    <t>Eau minérale Arcens, embouteillée, gazeuse, moyennement minéralisée (Arcens, 07)</t>
  </si>
  <si>
    <t>Eau minérale Ardesy, embouteillée, gazeuse, fortement minéralisée (Ardes, 63)</t>
  </si>
  <si>
    <t>Eau minérale Avra, embouteillée, non gazeuse, faiblement minéralisée (Grèce)</t>
  </si>
  <si>
    <t>Eau minérale Badoit, embouteillée, gazeuse, moyennement minéralisée (St-Galmier, 42)</t>
  </si>
  <si>
    <t>Eau minérale Beckerich, embouteillée, non gazeuse, faiblement minéralisée (Luxembourg)</t>
  </si>
  <si>
    <t>Eau minérale Biovive, embouteillée, non gazeuse, faiblement minéralisée (Dax, 40)</t>
  </si>
  <si>
    <t>Eau minérale Carola, embouteillée, gazeuse ou non gazeuse, moyennement minéralisée (Ribeauville, 68)</t>
  </si>
  <si>
    <t>Eau minérale Celtic, embouteillée, gazeuse ou non gazeuse, très faiblement minéralisée (Niederbronn, 67)</t>
  </si>
  <si>
    <t>Eau minérale Chambon, embouteillée, non gazeuse, faiblement minéralisée (Chambon, 45)</t>
  </si>
  <si>
    <t>Eau minérale Chantemerle, embouteillée, non gazeuse, faiblement minéralisée (Le Pestrin, 07)</t>
  </si>
  <si>
    <t>Eau minérale Chateauneuf, embouteillée, gazeuse, fortement minéralisée (Chateauneuf, 63)</t>
  </si>
  <si>
    <t>Eau minérale Chateldon, embouteillée, gazeuse, fortement minéralisée (Chateldon, 63)</t>
  </si>
  <si>
    <t>Eau minérale Chaudfontaine, embouteillée, non gazeuse, faiblement minéralisée (Belgique)</t>
  </si>
  <si>
    <t>Eau minérale Christinen Brunnen, embouteillée, non gazeuse, moyennement minéralisée (Allemagne)</t>
  </si>
  <si>
    <t>Eau minérale Cilaos, embouteillée, gazeuse, fortement minéralisée (Cilaos, 974)</t>
  </si>
  <si>
    <t>Eau minérale Clos de l'Abbaye, embouteillée, non gazeuse, moyennement minéralisée (St-Amand, 59)</t>
  </si>
  <si>
    <t>Eau minérale Contrex, embouteillée, non gazeuse, fortement minéralisée (Contrexéville, 88)</t>
  </si>
  <si>
    <t>Eau minérale Courmayeur, embouteillée, non gazeuse, fortement minéralisée (Italie)</t>
  </si>
  <si>
    <t>Eau minérale Dax, embouteillée, non gazeuse, moyennement minéralisée (Dax, 40)</t>
  </si>
  <si>
    <t>Eau minérale Didier, embouteillée non gazeuse, fortement minéralisée (Martinique)</t>
  </si>
  <si>
    <t>Eau minérale Didier, embouteillée, gazeuse, fortement minéralisée (Martinique)</t>
  </si>
  <si>
    <t>Eau minérale Eden (La Goa), embouteillée, non gazeuse, faiblement minéralisée (Suisse)</t>
  </si>
  <si>
    <t>Eau minérale Evian, embouteillée, non gazeuse, faiblement minéralisée (Evian, 74)</t>
  </si>
  <si>
    <t>Eau minérale Hépar, embouteillée, non gazeuse, fortement minéralisée (Vittel, 88)</t>
  </si>
  <si>
    <t>Eau minérale Hydroxydase, embouteillée, gazeuse, fortement minéralisée (Le Breuil sur Couze, 63)</t>
  </si>
  <si>
    <t>Eau minérale La Cairolle, embouteillée, non gazeuse, fortement minéralisée (Les Aires, 34)</t>
  </si>
  <si>
    <t>Eau minérale La Française, embouteillée, non gazeuse, fortement minéralisée (Propiac, 26)</t>
  </si>
  <si>
    <t>Eau minérale Levissima, embouteillée, non gazeuse, faiblement minéralisée (Italie)</t>
  </si>
  <si>
    <t>Eau minérale Luchon, embouteillée, non gazeuse, faiblement minéralisée (Luchon, 31)</t>
  </si>
  <si>
    <t>Eau minérale Luso, embouteillée, non gazeuse, très faiblement minéralisée (Portugal)</t>
  </si>
  <si>
    <t>Eau minérale Mont-Blanc, embouteillée, non gazeuse, faiblement minéralisée (Italie)</t>
  </si>
  <si>
    <t>Eau minérale Montcalm, embouteillée, non gazeuse, très faiblement minéralisée (Auzat, 09)</t>
  </si>
  <si>
    <t>Eau minérale Montclar, embouteillée, non gazeuse, faiblement minéralisée (Montclar, 04)</t>
  </si>
  <si>
    <t>Eau minérale Mont-Roucous, embouteillée, très faiblement minéralisée (Lacaune, 81)</t>
  </si>
  <si>
    <t>Eau minérale Néro, embouteillée, non gazeuse, faiblement minéralisée (Grèce)</t>
  </si>
  <si>
    <t>Eau minérale Nessel, embouteillée, gazeuse, moyennement minéralisée (Soultzmatt, 68)</t>
  </si>
  <si>
    <t>Eau minérale Ogeu, embouteillée, gazeuse, faiblement minéralisée (Ogeu-les-Bains, 64)</t>
  </si>
  <si>
    <t>Eau minérale Ogeu, embouteillée, non gazeuse, faiblement minéralisée (Ogeu-les-Bains, 64)</t>
  </si>
  <si>
    <t>Eau minérale Orée du bois, embouteillée, non gazeuse, moyennement minéralisée (St-Amand, 59)</t>
  </si>
  <si>
    <t>Eau minérale Orezza, embouteillée, gazeuse, moyennement minéralisée (Rapaggio, 20B)</t>
  </si>
  <si>
    <t>Eau minérale Parot, embouteillée, gazeuse, moyennement minéralisée (St-Romain-le-Puy, 42)</t>
  </si>
  <si>
    <t>Eau minérale Penacova, embouteillée, non gazeuse, très faiblement minéralisée (Portugal)</t>
  </si>
  <si>
    <t>Eau minérale Perrier, embouteillée, gazeuse, faiblement minéralisée (Vergèse, 30)</t>
  </si>
  <si>
    <t>Eau minérale Plancoet, embouteillée, gazeuse ou non gazeuse, faiblement minéralisée (Plancoet, 22)</t>
  </si>
  <si>
    <t>Eau minérale Prince Noir, embouteillée, non gazeuse, fortement minéralisée (St-Antonin-Noble-Val, 82)</t>
  </si>
  <si>
    <t>Eau minérale Propiac, embouteillée, non gazeuse, fortement minéralisée (Propiac, 26)</t>
  </si>
  <si>
    <t>Eau minérale Puits St-Georges, embouteillée, gazeuse, moyennement minéralisée (St-Romain-le-Puy, 42)</t>
  </si>
  <si>
    <t>Eau minérale Quézac, embouteillée, gazeuse, moyennement minéralisée (Quézac, 48)</t>
  </si>
  <si>
    <t>Eau minérale Reine des basaltes, embouteillée, gazeuse, moyennement minéralisée (Asperjoc, 07)</t>
  </si>
  <si>
    <t>Eau minérale Rozana, embouteillée, gazeuse, fortement minéralisée (Beauregard, 63)</t>
  </si>
  <si>
    <t>Eau minérale Sail-les-Bains, embouteillée, non gazeuse, faiblement minéralisée (Sail-les-Bains, 42)</t>
  </si>
  <si>
    <t>Eau minérale Salvetat, embouteillée, gazeuse, moyennement minéralisée (La Salvetat, 34)</t>
  </si>
  <si>
    <t>Eau minérale San Bernardo, embouteillée, très faiblement minéralisée (Italie)</t>
  </si>
  <si>
    <t>Eau minérale San Pellegrino, embouteillée, gazeuse, moyennement minéralisée (Italie)</t>
  </si>
  <si>
    <t>Eau minérale Spa-Reine, embouteillée, gazeuse ou non non gazeuse, moyennement minéralisée (Belgique)</t>
  </si>
  <si>
    <t>Eau minérale St-Alban, embouteillée, gazeuse, moyennement minéralisée (St-Alban, 42)</t>
  </si>
  <si>
    <t>Eau minérale St-Amand, embouteillée, gazeuse ou non gazeuse, moyennement minéralisée (St-Amand, 59)</t>
  </si>
  <si>
    <t>Eau minérale St-Antonin, embouteillée, non gazeuse, fortement minéralisée (St-Antonin-Noble-Val, 82)</t>
  </si>
  <si>
    <t>Eau minérale St-Diéry, embouteillée, gazeuse, fortement minéralisée (St-Diéry, 63)</t>
  </si>
  <si>
    <t>Eau minérale Ste-Marguerite, embouteillée, gazeuse, moyennement minéralisée (St-Maurice, 63)</t>
  </si>
  <si>
    <t>Eau minérale St-Géron, embouteillée, gazeuse, moyennement minéralisée (St-Géron, 43)</t>
  </si>
  <si>
    <t>Eau minérale St-Michel-de-Mourcairol, embouteillée, gazeuse, moyennement minéralisée (Les Aires, 34)</t>
  </si>
  <si>
    <t>Eau minérale St-Yorre, embouteillée, gazeuse, fortement minéralisée (Saint-Yorre, 03)</t>
  </si>
  <si>
    <t>Eau minérale Thonon, embouteillée, non gazeuse, faiblement minéralisée (Thonon, 74)</t>
  </si>
  <si>
    <t>Eau minérale Treignac, embouteillée, non gazeuse, très faiblement minéralisée (Treignac, 19)</t>
  </si>
  <si>
    <t>Eau minérale Vals, embouteillée, gazeuse, moyennement minéralisée (Vals-les-Bains, 07)</t>
  </si>
  <si>
    <t>Eau minérale Valvert, embouteillée, non gazeuse, faiblement minéralisée (Belgique)</t>
  </si>
  <si>
    <t>Eau minérale Vauban, embouteillée, non gazeuse, moyennement minéralisée (St-Amand-les-Eaux, 59)</t>
  </si>
  <si>
    <t>Eau minérale Ventadour, embouteillée, gazeuse, faiblement minéralisée (Le Pestrin, 07)</t>
  </si>
  <si>
    <t>Eau minérale Vernet, embouteillée, gazeuse, faiblement minéralisée (Prades, 07)</t>
  </si>
  <si>
    <t>Eau minérale Vernière, embouteillée, gazeuse, moyennement minéralisée (Les Aires, 34)</t>
  </si>
  <si>
    <t>Eau minérale Vichy Célestins, embouteillée, gazeuse, fortement minéralisée (Saint-Yorre, 03)</t>
  </si>
  <si>
    <t>Eau minérale Vittel, embouteillée, non gazeuse, moyennement minéralisée (Vittel, 88)</t>
  </si>
  <si>
    <t>Eau minérale Volvic active, embouteillée, gazeuse, faiblement minéralisée (Volvic, 63)</t>
  </si>
  <si>
    <t>Eau minérale Volvic, embouteillée, non gazeuse, faiblement minéralisée (Volvic, 63)</t>
  </si>
  <si>
    <t>Eau minérale Wattwiller, embouteillée, gazeuse ou non gazeuse, faiblement minéraliséee (Wattwiller, 68)</t>
  </si>
  <si>
    <t>Échalote, crue</t>
  </si>
  <si>
    <t>Échalote, cuite</t>
  </si>
  <si>
    <t>Éclair</t>
  </si>
  <si>
    <t>Edam</t>
  </si>
  <si>
    <t>Édulcorant à la saccharine</t>
  </si>
  <si>
    <t>sucres, miels et assimilés</t>
  </si>
  <si>
    <t>Églefin, cru</t>
  </si>
  <si>
    <t>Églefin, cuit à la vapeur</t>
  </si>
  <si>
    <t>Églefin, grillé/poêlé</t>
  </si>
  <si>
    <t>Emmental ou emmenthal</t>
  </si>
  <si>
    <t>Emmental ou emmenthal râpé</t>
  </si>
  <si>
    <t>Empereur, filet, sans peau, cru</t>
  </si>
  <si>
    <t>Endive au jambon</t>
  </si>
  <si>
    <t>Endive, crue</t>
  </si>
  <si>
    <t>Entremets type Opéra</t>
  </si>
  <si>
    <t>Épaule de porc, cuite, choix, découennée dégraissée</t>
  </si>
  <si>
    <t>Épaule de porc, cuite, standard, découennée dégraissée</t>
  </si>
  <si>
    <t>Épeautre, cru</t>
  </si>
  <si>
    <t>Éperlan, cru</t>
  </si>
  <si>
    <t>Épinard, appertisé, égoutté</t>
  </si>
  <si>
    <t>Épinard, cru</t>
  </si>
  <si>
    <t>Épinard, cuit</t>
  </si>
  <si>
    <t>Épinard, jeunes pousses pour salades, cru</t>
  </si>
  <si>
    <t>Épinard, purée</t>
  </si>
  <si>
    <t>Épinard, surgelé, cru</t>
  </si>
  <si>
    <t>Épinard, surgelé, cuit</t>
  </si>
  <si>
    <t>Épinards à la crème</t>
  </si>
  <si>
    <t>Époisses</t>
  </si>
  <si>
    <t>Escalope végétale ou steak à base de soja</t>
  </si>
  <si>
    <t>20914</t>
  </si>
  <si>
    <t>Escargot en sauce au beurre persillé, cuit</t>
  </si>
  <si>
    <t>Espadon, cru</t>
  </si>
  <si>
    <t>Espadon, rôti/cuit au four</t>
  </si>
  <si>
    <t>Estragon, frais</t>
  </si>
  <si>
    <t>Faisan, viande, rôtie/cuite au four</t>
  </si>
  <si>
    <t>Faisselle, 6% MG environ</t>
  </si>
  <si>
    <t>Fajitas</t>
  </si>
  <si>
    <t>Falafel ou Boulette de pois-chiche et/ou fève, frite</t>
  </si>
  <si>
    <t>Far aux pruneaux</t>
  </si>
  <si>
    <t>Farine de blé tendre ou froment avec levure incorporée</t>
  </si>
  <si>
    <t>Farine de blé tendre ou froment T110</t>
  </si>
  <si>
    <t>Farine de blé tendre ou froment T150</t>
  </si>
  <si>
    <t>Farine de blé tendre ou froment T45 (pour pâtisserie)</t>
  </si>
  <si>
    <t>Farine de blé tendre ou froment T55 (pour pains)</t>
  </si>
  <si>
    <t>Farine de blé tendre ou froment T65</t>
  </si>
  <si>
    <t>Farine de blé tendre ou froment T80</t>
  </si>
  <si>
    <t>Farine de châtaigne</t>
  </si>
  <si>
    <t>Farine de maïs</t>
  </si>
  <si>
    <t>Farine de millet</t>
  </si>
  <si>
    <t>Farine de pois chiche</t>
  </si>
  <si>
    <t>Farine de riz</t>
  </si>
  <si>
    <t>Farine de sarrasin</t>
  </si>
  <si>
    <t>Farine de seigle T130</t>
  </si>
  <si>
    <t>Farine de seigle T170</t>
  </si>
  <si>
    <t>Farine de seigle T85</t>
  </si>
  <si>
    <t>Farine de soja</t>
  </si>
  <si>
    <t>Farine d'épeautre (grand épeautre)</t>
  </si>
  <si>
    <t>Farine d'orge</t>
  </si>
  <si>
    <t>Fenouil, bouilli/cuit à l'eau</t>
  </si>
  <si>
    <t>Fenouil, cru</t>
  </si>
  <si>
    <t>Fenouil, graine</t>
  </si>
  <si>
    <t>Fenugrec, graine</t>
  </si>
  <si>
    <t>Feta de brebis</t>
  </si>
  <si>
    <t>Feuilleté au poisson et / ou fruits de mer</t>
  </si>
  <si>
    <t>Feuilleté aux escargots</t>
  </si>
  <si>
    <t>Feuilleté ou Friand à la viande</t>
  </si>
  <si>
    <t>Feuilleté ou Friand au fromage</t>
  </si>
  <si>
    <t>Feuilleté ou Friand jambon fromage</t>
  </si>
  <si>
    <t>Fève à écosser, fraîche</t>
  </si>
  <si>
    <t>légumineuses</t>
  </si>
  <si>
    <t>Fève, cuite</t>
  </si>
  <si>
    <t>Fève, fraîche, surgelée</t>
  </si>
  <si>
    <t>Fève, pelée, surgelée, crue</t>
  </si>
  <si>
    <t>Fève, pelée, surgelée, cuite à l'eau</t>
  </si>
  <si>
    <t>Fève, sèche</t>
  </si>
  <si>
    <t>Fève, surgelée, cuite à l'eau</t>
  </si>
  <si>
    <t>Ficelle picarde</t>
  </si>
  <si>
    <t>Figue de Barbarie, pulpe et graines, crue</t>
  </si>
  <si>
    <t>Figue, crue</t>
  </si>
  <si>
    <t>Figue, sèche</t>
  </si>
  <si>
    <t>Filet de bacon</t>
  </si>
  <si>
    <t>Flammenkueche ou Tarte flambée aux lardons</t>
  </si>
  <si>
    <t>Flan aux œufs, rayon frais</t>
  </si>
  <si>
    <t>Flan de légumes</t>
  </si>
  <si>
    <t>Flan pâtissier aux oeufs ou à la parisienne</t>
  </si>
  <si>
    <t>Flétan de l'Atlantique ou flétan blanc, cru</t>
  </si>
  <si>
    <t>Flétan du Groënland ou flétan noir ou flétan commun, cru</t>
  </si>
  <si>
    <t>Flétan du Groënland ou flétan noir ou flétan commun, cuit à la vapeur</t>
  </si>
  <si>
    <t>Fleur de sel, non iodée, non fluorée</t>
  </si>
  <si>
    <t>sels</t>
  </si>
  <si>
    <t>Flocon d'avoine</t>
  </si>
  <si>
    <t>Flocon d'avoine précuit</t>
  </si>
  <si>
    <t>Flocons d'avoine, bouillis/cuits à l'eau</t>
  </si>
  <si>
    <t>Florentin (biscuit sec sucré chocolaté aux amandes)</t>
  </si>
  <si>
    <t>Focaccia, garnie</t>
  </si>
  <si>
    <t>Foie, agneau, cru</t>
  </si>
  <si>
    <t>Foie, agneau, cuit</t>
  </si>
  <si>
    <t>Foie, canard, cru</t>
  </si>
  <si>
    <t>Foie, dinde, cru</t>
  </si>
  <si>
    <t>Foie, dinde, cuit</t>
  </si>
  <si>
    <t>Foie, génisse, cru</t>
  </si>
  <si>
    <t>Foie, génisse, cuit</t>
  </si>
  <si>
    <t>Foie, lapin, cru</t>
  </si>
  <si>
    <t>Foie, oie, cru</t>
  </si>
  <si>
    <t>Foie, porc, cru</t>
  </si>
  <si>
    <t>Foie, porc, cuit</t>
  </si>
  <si>
    <t>Foie, poulet, cru</t>
  </si>
  <si>
    <t>Foie, poulet, cuit</t>
  </si>
  <si>
    <t>Foie, veau, cru</t>
  </si>
  <si>
    <t>Foie, veau, cuit</t>
  </si>
  <si>
    <t>Foie, volaille, cru</t>
  </si>
  <si>
    <t>Fondue de poireau</t>
  </si>
  <si>
    <t>Fondue savoyarde (fromages, vin, pain)</t>
  </si>
  <si>
    <t>Fontina</t>
  </si>
  <si>
    <t>Fougasse, garnie</t>
  </si>
  <si>
    <t>Fourme d'Ambert</t>
  </si>
  <si>
    <t>Fourme de Montbrison</t>
  </si>
  <si>
    <t>Fraise de saison, crue</t>
  </si>
  <si>
    <t>Fraise hors saison, crue</t>
  </si>
  <si>
    <t>Fraise, crue</t>
  </si>
  <si>
    <t>Fraisier ou framboisier</t>
  </si>
  <si>
    <t>Framboise, crue</t>
  </si>
  <si>
    <t>Framboise, surgelée, crue</t>
  </si>
  <si>
    <t>Frik (blé dur immature concassé), cru</t>
  </si>
  <si>
    <t>Frik (blé dur immature concassé), cuit, non salé</t>
  </si>
  <si>
    <t>Frites de pommes de terre, surgelées, cuites en friteuse</t>
  </si>
  <si>
    <t>Frites de pommes de terre, surgelées, pour cuisson en friteuse</t>
  </si>
  <si>
    <t>Frites de pommes de terre, surgelées, pour cuisson micro-ondes</t>
  </si>
  <si>
    <t>Frites de pommes de terre, surgelées, pour cuisson rôtie/ au four</t>
  </si>
  <si>
    <t>Frites de pommes de terre, surgelées, rôties/cuites au four</t>
  </si>
  <si>
    <t>Fromage à pâte ferme environ 14% MG type Masdaam à teneur réduite en MG</t>
  </si>
  <si>
    <t>Fromage à pâte ferme environ 27% MG type Maasdam</t>
  </si>
  <si>
    <t>Fromage à pâte molle à croûte lavée, au lait pasteurisé (type Vieux Pané)</t>
  </si>
  <si>
    <t>Fromage à pâte molle double crème environ 30% MG</t>
  </si>
  <si>
    <t>Fromage à pâte molle et croûte fleurie (type camembert)</t>
  </si>
  <si>
    <t>Fromage à pâte molle et croûte lavée, allégé environ 13% MG</t>
  </si>
  <si>
    <t>Fromage à pâte molle et croûte mixte (lavée et fleurie) colorée</t>
  </si>
  <si>
    <t>Fromage à pâte molle triple crème environ 40% MG</t>
  </si>
  <si>
    <t>Fromage à pate pressée cuite type emmental ou emmenthal, allégé en matière grasse</t>
  </si>
  <si>
    <t>Fromage blanc nature, 0% MG</t>
  </si>
  <si>
    <t>Fromage blanc nature, 3% MG environ</t>
  </si>
  <si>
    <t>Fromage blanc nature, gourmand, 8% MG environ</t>
  </si>
  <si>
    <t>Fromage blanc ou spécialité laitière, aux fruits, sucré, gourmand, 7% MG environ</t>
  </si>
  <si>
    <t>Fromage bleu au lait de vache</t>
  </si>
  <si>
    <t>Fromage bleu d'Auvergne</t>
  </si>
  <si>
    <t>Fromage bleu de Bresse</t>
  </si>
  <si>
    <t>Fromage bleu de Bresse allegé environ 15% MG</t>
  </si>
  <si>
    <t>Fromage bleu des Causses</t>
  </si>
  <si>
    <t>Fromage de brebis à pâte molle et croûte fleurie</t>
  </si>
  <si>
    <t>Fromage de brebis à pâte pressée</t>
  </si>
  <si>
    <t>Fromage de brebis Corse à pâte molle</t>
  </si>
  <si>
    <t>Fromage de brebis des Pyrénées</t>
  </si>
  <si>
    <t>Fromage de chèvre à pâte molle et croûte fleurie type camembert</t>
  </si>
  <si>
    <t>Fromage de chèvre à pâte molle non pressée non cuite croûte naturelle, au lait pasteurisé</t>
  </si>
  <si>
    <t>Fromage de chèvre bûche</t>
  </si>
  <si>
    <t>Fromage de chèvre bûche, allégé en matière grasse</t>
  </si>
  <si>
    <t>Fromage de chèvre demi-sec</t>
  </si>
  <si>
    <t>Fromage de chèvre frais, au lait cru (type palet ou crottin frais)</t>
  </si>
  <si>
    <t>Fromage de chèvre frais, au lait pasteurisé (type bûchette fraîche)</t>
  </si>
  <si>
    <t>Fromage de chèvre frais, au lait pasteurisé ou cru (type crottin frais ou bûchette fraîche)</t>
  </si>
  <si>
    <t>Fromage de chèvre lactique affiné (type bûchette, crottin, Sainte-Maure)</t>
  </si>
  <si>
    <t>Fromage de chèvre lactique affiné, au lait cru (type Crottin de Chavignol, Picodon, Rocamadour, Sainte-Maure de Touraine)</t>
  </si>
  <si>
    <t>Fromage de chèvre lactique affiné, au lait pasteurisé (type bûchette ou crottin)</t>
  </si>
  <si>
    <t>Fromage de chèvre sec</t>
  </si>
  <si>
    <t>Fromage de tête</t>
  </si>
  <si>
    <t>Fromage fondu double crème, environ 31% MG</t>
  </si>
  <si>
    <t>Fromage fondu en portions ou en cubes environ 20% MG</t>
  </si>
  <si>
    <t>Fromage fondu en tranchettes</t>
  </si>
  <si>
    <t>Fromage frais type petit suisse, aromatisé aux fruits, 2-3% MG, enrichi en calcium et vitamine D</t>
  </si>
  <si>
    <t>Fromage frais type petit suisse, aux fruits, 2-3% MG</t>
  </si>
  <si>
    <t>Fromage frais type petit suisse, aux fruits, 2-3% MG, enrichi en calcium et vitamine D</t>
  </si>
  <si>
    <t>Fromage frais type petit suisse, nature, 0% MG</t>
  </si>
  <si>
    <t>Fromage frais type petit suisse, nature, 10% MG environ</t>
  </si>
  <si>
    <t>Fromage frais type petit suisse, nature, 4% MG environ</t>
  </si>
  <si>
    <t>Fromage pané au jambon</t>
  </si>
  <si>
    <t>Fromage rond à pâte molle et croûte fleurie 5 à 11% MG type camembert allégé en matière grasse</t>
  </si>
  <si>
    <t>Fromage rond à pâte molle et croûte fleurie environ 11% MG type coulommiers allégé en matière grasse</t>
  </si>
  <si>
    <t>Fromage rond à pâte molle et croûte fleurie environ 5% MG type camembert allégé en matière grasse</t>
  </si>
  <si>
    <t>Fromage type feta, au lait de vache</t>
  </si>
  <si>
    <t>Fromage type feta, au lait de vache, à l'huile et aux aromates</t>
  </si>
  <si>
    <t>Fructose</t>
  </si>
  <si>
    <t>Fruit à pain, cru</t>
  </si>
  <si>
    <t>Fruit de la passion ou maracudja, pulpe et pépins, cru</t>
  </si>
  <si>
    <t>Fruits rouges, crus (framboises, fraises, groseilles, cassis)</t>
  </si>
  <si>
    <t>Fucus vésiculeux (Fucus serratus ou Fucus vesiculosus), séché ou déshydraté</t>
  </si>
  <si>
    <t>Galette de céréales aux légumes (sans soja), préemballé</t>
  </si>
  <si>
    <t>25234</t>
  </si>
  <si>
    <t>Galette de riz soufflé complet</t>
  </si>
  <si>
    <t>Galette de sarrasin, nature, préemballée</t>
  </si>
  <si>
    <t>Galette des rois feuilletée</t>
  </si>
  <si>
    <t>Galette des rois feuilletée, fourrée frangipane, et Pithiviers</t>
  </si>
  <si>
    <t>Galette ou pavé au blé et soja (convient aux véganes ou végétaliens), préemballé</t>
  </si>
  <si>
    <t>25593</t>
  </si>
  <si>
    <t>Galette ou pavé au soja et légumes, préemballé</t>
  </si>
  <si>
    <t>25596</t>
  </si>
  <si>
    <t>Galettes multicéréales soufflées</t>
  </si>
  <si>
    <t>Gâteau au chocolat</t>
  </si>
  <si>
    <t>Gâteau au chocolat type forêt noire (génoise au chocolat et crème multi-couches, avec ou sans cerises)</t>
  </si>
  <si>
    <t>Gâteau au chocolat, cœur fondant, rayon frais</t>
  </si>
  <si>
    <t>Gâteau au citron, tout type</t>
  </si>
  <si>
    <t>Gâteau au fromage blanc</t>
  </si>
  <si>
    <t>Gâteau au yaourt</t>
  </si>
  <si>
    <t>Gâteau aux amandes type financier</t>
  </si>
  <si>
    <t>Gâteau basque, cerises</t>
  </si>
  <si>
    <t>Gâteau basque, crème pâtissière</t>
  </si>
  <si>
    <t>Gâteau de riz au caramel, rayon frais</t>
  </si>
  <si>
    <t>Gâteau de riz, appertisé</t>
  </si>
  <si>
    <t>Gâteau de semoule aux raisins et caramel, rayon frais</t>
  </si>
  <si>
    <t>Gâteau de semoule, appertisé</t>
  </si>
  <si>
    <t>Gâteau marbré</t>
  </si>
  <si>
    <t>Gâteau moelleux au chocolat, préemballé</t>
  </si>
  <si>
    <t>Gâteau moelleux aux fruits</t>
  </si>
  <si>
    <t>Gâteau moelleux aux fruits à coque</t>
  </si>
  <si>
    <t>Gâteau moelleux fourré au chocolat ou aux pépites de chocolat ou au lait</t>
  </si>
  <si>
    <t>Gâteau moelleux fourré aux fruits type mini-roulé ou mini-cake fourré</t>
  </si>
  <si>
    <t>Gâteau moelleux nature type génoise</t>
  </si>
  <si>
    <t>Gâteau mousse de fruits sur génoise, type miroir, bavarois</t>
  </si>
  <si>
    <t>Gâteau Paris-Brest (pâte à choux crème mousseline praliné)</t>
  </si>
  <si>
    <t>Gâteau sablé aux fruits, préemballé</t>
  </si>
  <si>
    <t>Gaufre croustillante (fine ou sèche), chocolatée, préemballée</t>
  </si>
  <si>
    <t>Gaufre croustillante (fine ou sèche), nature ou sucrée, préemballée</t>
  </si>
  <si>
    <t>Gaufre moelleuse (type bruxelloise ou liégeoise), chocolatée, préemballée</t>
  </si>
  <si>
    <t>Gaufrette fourrée chocolat, préemballée</t>
  </si>
  <si>
    <t>Gaufrette fourrée fruits à coque (noisette, amande, praline, etc.), chocolatée ou non, préemballée</t>
  </si>
  <si>
    <t>Gaufrette fourrée, aux fruits</t>
  </si>
  <si>
    <t>Gaufrette ou éventail sans fourrage</t>
  </si>
  <si>
    <t>Gaufrette, fourrée vanille, préemballée</t>
  </si>
  <si>
    <t>Gélatine, sèche</t>
  </si>
  <si>
    <t>Génoise fourrée et nappée au chocolat</t>
  </si>
  <si>
    <t>Génoise sèche fourrée aux fruits et nappée de chocolat</t>
  </si>
  <si>
    <t>Gésier, poulet, cru</t>
  </si>
  <si>
    <t>Gin</t>
  </si>
  <si>
    <t>Gingembre, poudre</t>
  </si>
  <si>
    <t>Gingembre, racine crue</t>
  </si>
  <si>
    <t>Glace à l'eau</t>
  </si>
  <si>
    <t>sorbets</t>
  </si>
  <si>
    <t>Glace au yaourt</t>
  </si>
  <si>
    <t>Glace ou crème glacée, cône (taille standard)</t>
  </si>
  <si>
    <t>Glace ou crème glacée, en bac</t>
  </si>
  <si>
    <t>Glace ou crème glacée, gourmande, en bac</t>
  </si>
  <si>
    <t>Glace ou crème glacée, gourmande, en pot</t>
  </si>
  <si>
    <t>Glace ou crème glacée, mini cône</t>
  </si>
  <si>
    <t>Glace ou crème glacée, petit pot enfant</t>
  </si>
  <si>
    <t>Glace ou crème glacée, pot individuel</t>
  </si>
  <si>
    <t>Gnocchi à la pomme de terre, cru</t>
  </si>
  <si>
    <t>Gnocchi à la pomme de terre, cuit</t>
  </si>
  <si>
    <t>Gnocchi à la semoule, cru</t>
  </si>
  <si>
    <t>Gnocchi à la semoule, cuit</t>
  </si>
  <si>
    <t>Gombo, fruit, cuit</t>
  </si>
  <si>
    <t>Gorgonzola</t>
  </si>
  <si>
    <t>Gouda</t>
  </si>
  <si>
    <t>Gougère</t>
  </si>
  <si>
    <t>Goûter sec fourré ("sandwiché") parfum chocolat</t>
  </si>
  <si>
    <t>Goûter sec fourré ("sandwiché") parfum fruits</t>
  </si>
  <si>
    <t>Goûter sec fourré ("sandwiché") parfum lait ou vanille</t>
  </si>
  <si>
    <t>Goyave, pulpe, crue</t>
  </si>
  <si>
    <t>Gracilaire ou ogonori (Gracilaria verrucosa), séchée ou déshydratée</t>
  </si>
  <si>
    <t>Grains de blé soufflés au miel ou caramel, enrichis en vitamines et minéraux</t>
  </si>
  <si>
    <t>Grains de blé soufflés chocolatés, enrichis en vitamines et minéraux</t>
  </si>
  <si>
    <t>Graisse de canard</t>
  </si>
  <si>
    <t>autres matières grasses</t>
  </si>
  <si>
    <t>Graisse de dinde</t>
  </si>
  <si>
    <t>Graisse de poulet</t>
  </si>
  <si>
    <t>Graisse d'oie</t>
  </si>
  <si>
    <t>Grana Padano</t>
  </si>
  <si>
    <t>Gratin d'aubergine</t>
  </si>
  <si>
    <t>Gratin dauphinois</t>
  </si>
  <si>
    <t>Gratin de chou-fleur</t>
  </si>
  <si>
    <t>Gratin de légumes</t>
  </si>
  <si>
    <t>Gratin de légumes en sauce blanche type béchamel, cuit</t>
  </si>
  <si>
    <t>Gratin de pâtes</t>
  </si>
  <si>
    <t>Gratin de poisson et purée ou brandade aux pommes de terre ou parmentier de poisson</t>
  </si>
  <si>
    <t>Gratin ou cassolette de poisson et / ou fruits de mer, à cuire</t>
  </si>
  <si>
    <t>Gratin ou cassolette de poisson et / ou fruits de mer, cuit</t>
  </si>
  <si>
    <t>Grenade, pulpe et pépins, crue</t>
  </si>
  <si>
    <t>Grenadier (de roche), cru</t>
  </si>
  <si>
    <t>Grenadier bleu ou hoki de Nouvelle-Zélande, cru</t>
  </si>
  <si>
    <t>Gressins</t>
  </si>
  <si>
    <t>Griotte, crue</t>
  </si>
  <si>
    <t>Grondin perlon, cru</t>
  </si>
  <si>
    <t>Grondin, cru</t>
  </si>
  <si>
    <t>Groseille à maquereau, crue</t>
  </si>
  <si>
    <t>Groseille, crue</t>
  </si>
  <si>
    <t>Gruyère</t>
  </si>
  <si>
    <t>Gruyère IGP France</t>
  </si>
  <si>
    <t>Guacamole, préemballé</t>
  </si>
  <si>
    <t>Guimauve ou marshmallow</t>
  </si>
  <si>
    <t>Haché à base de bœuf ou Préparation de viande hachée de boeuf, 15% MG, cru</t>
  </si>
  <si>
    <t>Haché de volaille</t>
  </si>
  <si>
    <t>Haché végétal à base de soja, préemballé</t>
  </si>
  <si>
    <t>30181</t>
  </si>
  <si>
    <t>Hachis Parmentier à la viande</t>
  </si>
  <si>
    <t>Haddock (fumé) ou églefin fumé</t>
  </si>
  <si>
    <t>Hamburger, provenant de fast food</t>
  </si>
  <si>
    <t>Hareng fumé, à l'huile</t>
  </si>
  <si>
    <t>Hareng fumé, au naturel</t>
  </si>
  <si>
    <t>Hareng fumé, filet, doux</t>
  </si>
  <si>
    <t>Hareng gras, cru</t>
  </si>
  <si>
    <t>Hareng maigre, cru</t>
  </si>
  <si>
    <t>Hareng mariné ou rollmops</t>
  </si>
  <si>
    <t>Hareng, cru</t>
  </si>
  <si>
    <t>Hareng, frit</t>
  </si>
  <si>
    <t>Hareng, grillé/poêlé</t>
  </si>
  <si>
    <t>Haricot beurre, appertisé, égoutté</t>
  </si>
  <si>
    <t>Haricot beurre, cru</t>
  </si>
  <si>
    <t>Haricot beurre, surgelé, cru</t>
  </si>
  <si>
    <t>Haricot blanc, appertisé, égoutté</t>
  </si>
  <si>
    <t>Haricot blanc, cuit</t>
  </si>
  <si>
    <t>Haricot blanc, sec</t>
  </si>
  <si>
    <t>Haricot de Lima, cru</t>
  </si>
  <si>
    <t>Haricot de mer (Himanthalia elongata), séchée ou déshydratée</t>
  </si>
  <si>
    <t>Haricot flageolet, appertisé, égouttés</t>
  </si>
  <si>
    <t>Haricot flageolet, cuit</t>
  </si>
  <si>
    <t>Haricot flageolet, surgelé</t>
  </si>
  <si>
    <t>Haricot flageolet, vert, cuit</t>
  </si>
  <si>
    <t>Haricot flageolet, vert, sec</t>
  </si>
  <si>
    <t>Haricot mungo germé ou pousse de "soja", appertisé, égoutté</t>
  </si>
  <si>
    <t>Haricot mungo germé ou pousse de "soja", cru</t>
  </si>
  <si>
    <t>Haricot mungo, cuit</t>
  </si>
  <si>
    <t>Haricot mungo, sec</t>
  </si>
  <si>
    <t>Haricot plat, cru</t>
  </si>
  <si>
    <t>Haricot rouge, appertisé, égoutté</t>
  </si>
  <si>
    <t>Haricot rouge, cuit</t>
  </si>
  <si>
    <t>Haricot rouge, sec</t>
  </si>
  <si>
    <t>Haricot vert importé par avion, cru</t>
  </si>
  <si>
    <t>Haricot vert, appertisé, égoutté</t>
  </si>
  <si>
    <t>Haricot vert, cru</t>
  </si>
  <si>
    <t>Haricot vert, cuit</t>
  </si>
  <si>
    <t>Haricot vert, surgelé, cru</t>
  </si>
  <si>
    <t>Haricot vert, surgelé, cuit</t>
  </si>
  <si>
    <t>Haricots blancs à la sauce tomate, appertisés</t>
  </si>
  <si>
    <t>Haricots verts, purée</t>
  </si>
  <si>
    <t>Harissa (sauce condimentaire)</t>
  </si>
  <si>
    <t>Herbes de Provence, séchées</t>
  </si>
  <si>
    <t>Hoki, tout lieu de pêche, cru</t>
  </si>
  <si>
    <t>Homard, bouilli/cuit à l'eau</t>
  </si>
  <si>
    <t>Hot-dog</t>
  </si>
  <si>
    <t>Houmous</t>
  </si>
  <si>
    <t>Huile combinée (mélange d'huiles)</t>
  </si>
  <si>
    <t>Huile combinée, mélange d'huile d'olive et de graines</t>
  </si>
  <si>
    <t>Huile d'arachide</t>
  </si>
  <si>
    <t>Huile d'avocat</t>
  </si>
  <si>
    <t>17100</t>
  </si>
  <si>
    <t>Huile de beurre ou Beurre concentré</t>
  </si>
  <si>
    <t>Huile de colza</t>
  </si>
  <si>
    <t>Huile de coton</t>
  </si>
  <si>
    <t>Huile de foie de morue</t>
  </si>
  <si>
    <t>huiles de poissons</t>
  </si>
  <si>
    <t>Huile de hareng</t>
  </si>
  <si>
    <t>Huile de lin</t>
  </si>
  <si>
    <t>Huile de maïs</t>
  </si>
  <si>
    <t>Huile de noisette</t>
  </si>
  <si>
    <t>Huile de palme raffinée</t>
  </si>
  <si>
    <t>Huile de palme, sans précision</t>
  </si>
  <si>
    <t>Huile de pépins de raisin</t>
  </si>
  <si>
    <t>Huile de sardine</t>
  </si>
  <si>
    <t>Huile de saumon</t>
  </si>
  <si>
    <t>Huile de sésame</t>
  </si>
  <si>
    <t>Huile de soja</t>
  </si>
  <si>
    <t>Huile de tournesol</t>
  </si>
  <si>
    <t>Huile d'olive vierge extra</t>
  </si>
  <si>
    <t>Huile pour friture, sans précision</t>
  </si>
  <si>
    <t>Huître creuse, crue</t>
  </si>
  <si>
    <t>Huître plate, crue</t>
  </si>
  <si>
    <t>Huître, sans précision, crue</t>
  </si>
  <si>
    <t>Igname, épluchée, bouillie/cuite à l'eau</t>
  </si>
  <si>
    <t>Igname, épluchée, crue</t>
  </si>
  <si>
    <t>Ile flottante, rayon frais</t>
  </si>
  <si>
    <t>Insecte (Mouche Soldat Noir)</t>
  </si>
  <si>
    <t>0005</t>
  </si>
  <si>
    <t>Jambon à l'os braisé</t>
  </si>
  <si>
    <t>Jambon cru</t>
  </si>
  <si>
    <t>Jambon cru, fumé</t>
  </si>
  <si>
    <t>Jambon cru, fumé, allégé en matière grasse</t>
  </si>
  <si>
    <t>Jambon cuit, choix</t>
  </si>
  <si>
    <t>Jambon cuit, choix, avec couenne</t>
  </si>
  <si>
    <t>Jambon cuit, choix, découenné dégraissé</t>
  </si>
  <si>
    <t>Jambon cuit, de Paris, découenné dégraissé</t>
  </si>
  <si>
    <t>Jambon cuit, fumé</t>
  </si>
  <si>
    <t>Jambon cuit, supérieur</t>
  </si>
  <si>
    <t>Jambon cuit, supérieur, à teneur réduite en sel</t>
  </si>
  <si>
    <t>Jambon cuit, supérieur, avec couenne</t>
  </si>
  <si>
    <t>Jambon cuit, supérieur, découenné</t>
  </si>
  <si>
    <t>Jambon cuit, supérieur, découenné dégraissé</t>
  </si>
  <si>
    <t>Jambon de Bayonne</t>
  </si>
  <si>
    <t>Jambon de dinde ou Blanc de dinde en tranche</t>
  </si>
  <si>
    <t>Jambon de porc à cuire ou Jambon à rôtir/cuire au four</t>
  </si>
  <si>
    <t>Jambon de poulet ou Blanc de poulet en tranche</t>
  </si>
  <si>
    <t>Jambon en croûte</t>
  </si>
  <si>
    <t>Jambon sec</t>
  </si>
  <si>
    <t>Jambon sec de Parme</t>
  </si>
  <si>
    <t>Jambon sec Serrano</t>
  </si>
  <si>
    <t>Jambon sec, découenné, dégraissé</t>
  </si>
  <si>
    <t>Jambonneau, cuit</t>
  </si>
  <si>
    <t>Joëls (petits poissons entiers) pour friture, crus</t>
  </si>
  <si>
    <t>Julienne ou brunoise de légumes, surgelée, crue</t>
  </si>
  <si>
    <t>Julienne ou Lingue, crue</t>
  </si>
  <si>
    <t>Julienne ou Lingue, cuite</t>
  </si>
  <si>
    <t>Jus d'ananas, à base de concentré</t>
  </si>
  <si>
    <t>Jus d'ananas, pur jus</t>
  </si>
  <si>
    <t>Jus de betterave</t>
  </si>
  <si>
    <t>Jus de carotte, pur jus</t>
  </si>
  <si>
    <t>Jus de citron, pur jus</t>
  </si>
  <si>
    <t>Jus de fruits rouges</t>
  </si>
  <si>
    <t>0002</t>
  </si>
  <si>
    <t>Jus de mangue, frais</t>
  </si>
  <si>
    <t>Jus de pamplemousse (pomelo), pur jus</t>
  </si>
  <si>
    <t>Jus de pomme, pur jus</t>
  </si>
  <si>
    <t>Jus de raisin, pur jus</t>
  </si>
  <si>
    <t>Jus de tomate, pur jus (aliment moyen)</t>
  </si>
  <si>
    <t>Jus d'orange, à base de concentré</t>
  </si>
  <si>
    <t>Jus d'orange, maison</t>
  </si>
  <si>
    <t>Jus multifruit - base orange, multivitaminé</t>
  </si>
  <si>
    <t>Jus multifruit - base pomme, standard</t>
  </si>
  <si>
    <t>Jus multifruit, à base de concentré, standard</t>
  </si>
  <si>
    <t>Jus multifruit, pur jus, multivitaminé</t>
  </si>
  <si>
    <t>Jus multifruit, pur jus, standard</t>
  </si>
  <si>
    <t>Kaki, pulpe, cru</t>
  </si>
  <si>
    <t>Ketchup</t>
  </si>
  <si>
    <t>Khatfa feuille de brick, préemballée</t>
  </si>
  <si>
    <t>Kir (au vin blanc)</t>
  </si>
  <si>
    <t>Kir royal (au champagne)</t>
  </si>
  <si>
    <t>Kiwi, pulpe et graines, cru</t>
  </si>
  <si>
    <t>Kombu breton (Laminaria digitata), séchée ou déshydratée</t>
  </si>
  <si>
    <t>Kombu ou kombu japonais (Laminaria japonica), séchée ou déshydratée</t>
  </si>
  <si>
    <t>Kombu royal (Saccharina latissima), séchée ou déshydratée</t>
  </si>
  <si>
    <t>Kouign Amann</t>
  </si>
  <si>
    <t>Kumquat, sans pépin, cru</t>
  </si>
  <si>
    <t>Lait 1er âge, poudre soluble (préparation pour nourrissons)</t>
  </si>
  <si>
    <t>Lait 1er âge, prêt à consommer (préparation pour nourrissons)</t>
  </si>
  <si>
    <t>Lait 2e âge, poudre soluble (préparation de suite)</t>
  </si>
  <si>
    <t>Lait 2e âge, prêt à consommer (préparation pour nourrissons)</t>
  </si>
  <si>
    <t>Lait concentré non sucré, entier</t>
  </si>
  <si>
    <t>laits</t>
  </si>
  <si>
    <t>Lait concentré sucré, entier</t>
  </si>
  <si>
    <t>Lait de brebis, entier</t>
  </si>
  <si>
    <t>Lait de chèvre, demi-écrémé, UHT</t>
  </si>
  <si>
    <t>Lait de chèvre, entier, cru</t>
  </si>
  <si>
    <t>Lait de chèvre, entier, UHT</t>
  </si>
  <si>
    <t>Lait de coco ou Crème de coco</t>
  </si>
  <si>
    <t>Lait de croissance infantile, liquide (aliment lacté destiné aux enfants en bas âge)</t>
  </si>
  <si>
    <t>Lait demi-écrémé, à teneur réduite en lactose</t>
  </si>
  <si>
    <t>Lait demi-écrémé, pasteurisé</t>
  </si>
  <si>
    <t>Lait demi-écrémé, UHT</t>
  </si>
  <si>
    <t>Lait demi-écrémé, UHT, enrichi en vitamines</t>
  </si>
  <si>
    <t>Lait écrémé, pasteurisé</t>
  </si>
  <si>
    <t>Lait écrémé, UHT</t>
  </si>
  <si>
    <t>Lait emprésuré aromatisé, rayon frais</t>
  </si>
  <si>
    <t>Lait en poudre, demi-écrémé</t>
  </si>
  <si>
    <t>Lait en poudre, écrémé</t>
  </si>
  <si>
    <t>Lait en poudre, entier</t>
  </si>
  <si>
    <t>Lait entier, pasteurisé</t>
  </si>
  <si>
    <t>Lait entier, UHT</t>
  </si>
  <si>
    <t>Lait fermenté à boire, nature, au lait entier</t>
  </si>
  <si>
    <t>Lait fermenté à boire, nature, maigre</t>
  </si>
  <si>
    <t>Lait fermenté ou spécialité laitière type yaourt, aromatisé, sucré, au bifidus</t>
  </si>
  <si>
    <t>Lait fermenté ou spécialité laitière type yaourt, aux fruits, sucré, au bifidus</t>
  </si>
  <si>
    <t>Lait fermenté ou spécialité laitière type yaourt, nature, au bifidus</t>
  </si>
  <si>
    <t>Lait gélifié aromatisé, allégé en matière grasse et en sucre, rayon frais</t>
  </si>
  <si>
    <t>Lait gélifié aromatisé, nappé caramel, rayon frais</t>
  </si>
  <si>
    <t>Lait gélifié aromatisé, rayon frais</t>
  </si>
  <si>
    <t>Laitue de mer (Ulva sp.), séchée ou déshydratée</t>
  </si>
  <si>
    <t>Laitue iceberg, crue</t>
  </si>
  <si>
    <t>Laitue romaine, crue</t>
  </si>
  <si>
    <t>Laitue, crue</t>
  </si>
  <si>
    <t>Langoustine, crue</t>
  </si>
  <si>
    <t>Langres</t>
  </si>
  <si>
    <t>Langue, boeuf, crue</t>
  </si>
  <si>
    <t>Langue, boeuf, cuite</t>
  </si>
  <si>
    <t>Langue, porc, crue</t>
  </si>
  <si>
    <t>Langue, veau, crue</t>
  </si>
  <si>
    <t>Langue, veau, cuite</t>
  </si>
  <si>
    <t>Lapin à la moutarde</t>
  </si>
  <si>
    <t>Lapin de garenne, viande, crue</t>
  </si>
  <si>
    <t>Lapin de garenne, viande, cuite</t>
  </si>
  <si>
    <t>Lapin, viande braisée</t>
  </si>
  <si>
    <t>Lapin, viande crue</t>
  </si>
  <si>
    <t>Lapin, viande cuite</t>
  </si>
  <si>
    <t>Lard gras, cru</t>
  </si>
  <si>
    <t>Lardon fumé, cru</t>
  </si>
  <si>
    <t>Lardon fumé, cuit</t>
  </si>
  <si>
    <t>Lardon nature, cru</t>
  </si>
  <si>
    <t>Lardon nature, cuit</t>
  </si>
  <si>
    <t>Lasagnes ou canelloni aux légumes et au fromage de chèvre, cuits</t>
  </si>
  <si>
    <t>Lasagnes ou cannelloni à la viande (bolognaise)</t>
  </si>
  <si>
    <t>Lasagnes ou cannelloni au fromage et aux épinards</t>
  </si>
  <si>
    <t>Lasagnes ou cannelloni au poisson</t>
  </si>
  <si>
    <t>Lasagnes ou cannelloni aux légumes</t>
  </si>
  <si>
    <t>Lasagnes ou cannelloni aux légumes, cuits</t>
  </si>
  <si>
    <t>Laurier, feuille</t>
  </si>
  <si>
    <t>Lécithine de soja</t>
  </si>
  <si>
    <t>Légumes (3-4 sortes en mélange), purée</t>
  </si>
  <si>
    <t>Légumes farcis (sauf tomate)</t>
  </si>
  <si>
    <t>Légumes pour couscous, cuits</t>
  </si>
  <si>
    <t>Légumes pour couscous, surgelés, crus</t>
  </si>
  <si>
    <t>Légumes pour potages, surgelés, crus</t>
  </si>
  <si>
    <t>Légumes pour ratatouille, surgelés</t>
  </si>
  <si>
    <t>Légumes, mélange surgelé, crus</t>
  </si>
  <si>
    <t>Lentille blonde, cuite</t>
  </si>
  <si>
    <t>Lentille blonde, sèche</t>
  </si>
  <si>
    <t>Lentille corail, cuite</t>
  </si>
  <si>
    <t>Lentille corail, sèche</t>
  </si>
  <si>
    <t>Lentille verte, cuite</t>
  </si>
  <si>
    <t>Lentille verte, sèche</t>
  </si>
  <si>
    <t>Lentille, cuisinée, appertisée, égouttée</t>
  </si>
  <si>
    <t>Lentille, cuite</t>
  </si>
  <si>
    <t>Lentille, germée</t>
  </si>
  <si>
    <t>Lentille, sèche</t>
  </si>
  <si>
    <t>Levure alimentaire</t>
  </si>
  <si>
    <t>Levure chimique ou Poudre à lever</t>
  </si>
  <si>
    <t>Levure de boulanger, compressée</t>
  </si>
  <si>
    <t>Levure de boulanger, déshydratée</t>
  </si>
  <si>
    <t>Lichen de mer ou pioca ou goémon rouge (Chondrus crispus), séché ou déshydraté</t>
  </si>
  <si>
    <t>Liégeois aux fruits</t>
  </si>
  <si>
    <t>Liégeois ou viennois (chocolat, café, caramel ou vanille), rayon frais</t>
  </si>
  <si>
    <t>Lieu jaune ou colin, cru</t>
  </si>
  <si>
    <t>Lieu noir, cru</t>
  </si>
  <si>
    <t>Lieu noir, cuit</t>
  </si>
  <si>
    <t>Lieu noir, surgelé, cru</t>
  </si>
  <si>
    <t>Lieu ou colin d'Alaska, cru</t>
  </si>
  <si>
    <t>Lieu ou colin d'Alaska, fumé</t>
  </si>
  <si>
    <t>Limande, crue</t>
  </si>
  <si>
    <t>Limande-sole, crue</t>
  </si>
  <si>
    <t>Limande-sole, cuite à la vapeur</t>
  </si>
  <si>
    <t>Limande-sole, panée, frite</t>
  </si>
  <si>
    <t>Limonade, non sucrée, avec édulcorants</t>
  </si>
  <si>
    <t>Limonade, sucrée</t>
  </si>
  <si>
    <t>Limonade, sucrée, avec édulcorants</t>
  </si>
  <si>
    <t>Lin, brun, graine</t>
  </si>
  <si>
    <t>Lin, graine</t>
  </si>
  <si>
    <t>Lingue bleue ou Lingue, crue</t>
  </si>
  <si>
    <t>Liqueur</t>
  </si>
  <si>
    <t>Litchi, pulpe, cru</t>
  </si>
  <si>
    <t>Livarot</t>
  </si>
  <si>
    <t>Lotte ou baudroie, crue</t>
  </si>
  <si>
    <t>Lotte ou baudroie, grillée/poêlée</t>
  </si>
  <si>
    <t>Loup tacheté, cru</t>
  </si>
  <si>
    <t>Lupin, graine crue</t>
  </si>
  <si>
    <t>Luzerne, graine</t>
  </si>
  <si>
    <t>Luzerne, graine germée</t>
  </si>
  <si>
    <t>Macaron moelleux fourré à la confiture ou à la crème</t>
  </si>
  <si>
    <t>Macaron sec</t>
  </si>
  <si>
    <t>Macédoine de légumes, appertisée, égouttée</t>
  </si>
  <si>
    <t>Macédoine de légumes, surgelée</t>
  </si>
  <si>
    <t>Macédoine ou cocktail ou salade de fruits, au sirop léger, appertisé, égoutté</t>
  </si>
  <si>
    <t>Macédoine ou cocktail ou salade de fruits, au sirop léger, appertisé, non égoutté</t>
  </si>
  <si>
    <t>Macédoine ou cocktail ou salade de fruits, au sirop, appertisé, égoutté</t>
  </si>
  <si>
    <t>Macédoine ou cocktail ou salade de fruits, au sirop, appertisé, non égoutté</t>
  </si>
  <si>
    <t>Mâche, crue</t>
  </si>
  <si>
    <t>Madeleine chocolatée, préemballée</t>
  </si>
  <si>
    <t>Madeleine ordinaire, préemballée</t>
  </si>
  <si>
    <t>Madeleine traditionnelle, pur beurre</t>
  </si>
  <si>
    <t>Maïs doux, appertisé, égoutté</t>
  </si>
  <si>
    <t>Maïs doux, en épis, cuit</t>
  </si>
  <si>
    <t>Maïs doux, en épis, surgelé, cru</t>
  </si>
  <si>
    <t>Maïs doux, surgelé, cru</t>
  </si>
  <si>
    <t>Maïs entier, cru</t>
  </si>
  <si>
    <t>Mandarine, pulpe, crue</t>
  </si>
  <si>
    <t>Mangue importée par avion, pulpe, crue</t>
  </si>
  <si>
    <t>Mangue importée par bateau, pulpe, crue</t>
  </si>
  <si>
    <t>Manioc, racine crue</t>
  </si>
  <si>
    <t>Manioc, racine cuite</t>
  </si>
  <si>
    <t>Maquereau espagnol ou maquereau blanc ou billard, cru</t>
  </si>
  <si>
    <t>Maquereau, au naturel, appertisé, égoutté</t>
  </si>
  <si>
    <t>Maquereau, cru</t>
  </si>
  <si>
    <t>Maquereau, filet au vin blanc, appertisé, égoutté</t>
  </si>
  <si>
    <t>Maquereau, filet sauce moutarde, appertisé, égoutté</t>
  </si>
  <si>
    <t>Maquereau, filet sauce tomate, appertisé, égoutté</t>
  </si>
  <si>
    <t>Maquereau, frit</t>
  </si>
  <si>
    <t>Maquereau, fumé</t>
  </si>
  <si>
    <t>Maquereau, mariné</t>
  </si>
  <si>
    <t>Maquereau, rôti/cuit au four</t>
  </si>
  <si>
    <t>Marjolaine, séchée</t>
  </si>
  <si>
    <t>Marmelade d'orange</t>
  </si>
  <si>
    <t>Maroilles fermier</t>
  </si>
  <si>
    <t>Maroilles laitier</t>
  </si>
  <si>
    <t>Maroilles, sans précision</t>
  </si>
  <si>
    <t>Marsala</t>
  </si>
  <si>
    <t>Matière grasse laitière à 20% MG, légère, "à tartiner", doux</t>
  </si>
  <si>
    <t>Matière grasse laitière à 25% MG, légère, "à tartiner", doux</t>
  </si>
  <si>
    <t>Matière grasse mélangée (végétale et laitière) à 50-63% MG</t>
  </si>
  <si>
    <t>margarines</t>
  </si>
  <si>
    <t>Matière grasse mélangée (végétale et laitière) à 50-63% MG, demi-sel</t>
  </si>
  <si>
    <t>Matière grasse mélangée (végétale et laitière), à tartiner, à 30-40% MG</t>
  </si>
  <si>
    <t>Matière grasse mélangée (végétale et laitière), à tartiner, à 30-40% MG, demi-sel</t>
  </si>
  <si>
    <t>Matière grasse ou graisse végétale solide (type margarine) pour friture</t>
  </si>
  <si>
    <t>Matière grasse végétale (type margarine) à 30-40% MG, légère, demi-sel, aux esters de stérol végétal</t>
  </si>
  <si>
    <t>Matière grasse végétale (type margarine) à 50-63% MG, allégée, demi-sel</t>
  </si>
  <si>
    <t>Matière grasse végétale (type margarine) à 50-63% MG, allégée, demi-sel, riche en oméga 3</t>
  </si>
  <si>
    <t>Matière grasse végétale (type margarine) à 50-63% MG, allégée, doux</t>
  </si>
  <si>
    <t>Matière grasse végétale (type margarine) à 50-63% MG, allégée, doux, aux esters de stérol végétal</t>
  </si>
  <si>
    <t>Matière grasse végétale (type margarine) à 50-63% MG, allégée, doux, riche en oméga 3</t>
  </si>
  <si>
    <t>Matière grasse végétale (type margarine) à 60% de MG, allégée, au tournesol, doux</t>
  </si>
  <si>
    <t>Matière grasse végétale (type margarine) à 70% MG, doux</t>
  </si>
  <si>
    <t>Matière grasse végétale (type margarine) à 80% MG, salé</t>
  </si>
  <si>
    <t>Matière grasse végétale (type margarine), à tartiner, à 30-40% MG, légère, demi-sel</t>
  </si>
  <si>
    <t>Matière grasse végétale (type margarine), à tartiner, à 30-40% MG, légère, doux</t>
  </si>
  <si>
    <t>Matière grasse végétale (type margarine), à tartiner, à 30-40% MG, légère, doux, riche en oméga 3</t>
  </si>
  <si>
    <t>Matière grasse végétale ou margarine, 80% MG, doux</t>
  </si>
  <si>
    <t>Mayonnaise (70% MG min.)</t>
  </si>
  <si>
    <t>Mayonnaise à teneur réduite en matière grasse ou Mayonnaise allégée</t>
  </si>
  <si>
    <t>Mélange apéritif de graines (non salées) et fruits séchés</t>
  </si>
  <si>
    <t>Mélange apéritif de graines (non salées) et raisins secs</t>
  </si>
  <si>
    <t>Mélange apéritif de graines salées et raisins secs</t>
  </si>
  <si>
    <t>Mélange de céréales et légumineuses, cru</t>
  </si>
  <si>
    <t>Mélasse de canne</t>
  </si>
  <si>
    <t>Melon cantaloup (par ex.: Charentais, de Cavaillon) pulpe, cru</t>
  </si>
  <si>
    <t>Melon miel ou melon honeydew, pulpe, cru</t>
  </si>
  <si>
    <t>Meloukhia, feuilles de corète séchées, en poudre</t>
  </si>
  <si>
    <t>Menthe, fraîche</t>
  </si>
  <si>
    <t>Merguez, boeuf et mouton, crue</t>
  </si>
  <si>
    <t>Merguez, boeuf et mouton, cuite</t>
  </si>
  <si>
    <t>Merguez, bœuf, mouton et porc, crue</t>
  </si>
  <si>
    <t>Merguez, crue</t>
  </si>
  <si>
    <t>Merguez, porc et bœuf, crue</t>
  </si>
  <si>
    <t>Merguez, pur bœuf, crue</t>
  </si>
  <si>
    <t>Meringue</t>
  </si>
  <si>
    <t>Merlan, cru</t>
  </si>
  <si>
    <t>Merlan, cuit à la vapeur</t>
  </si>
  <si>
    <t>Merlan, frit</t>
  </si>
  <si>
    <t>Merlan, pané</t>
  </si>
  <si>
    <t>Merlu blanc du Cap, surgelé, cru</t>
  </si>
  <si>
    <t>Merlu, cru</t>
  </si>
  <si>
    <t>Merlu, cuit à l'étouffée</t>
  </si>
  <si>
    <t>Merlu, filet, surgelé, cru</t>
  </si>
  <si>
    <t>Mérou, cru</t>
  </si>
  <si>
    <t>Mesclun ou salade, mélange de jeunes pousses</t>
  </si>
  <si>
    <t>Miel</t>
  </si>
  <si>
    <t>Miettes de thon à la tomate, appertisées</t>
  </si>
  <si>
    <t>Miettes de thon à l'huile, appertisées</t>
  </si>
  <si>
    <t>Mil entier, cru</t>
  </si>
  <si>
    <t>Mil, cuit, non salé</t>
  </si>
  <si>
    <t>Milk-shake, provenant de fast food</t>
  </si>
  <si>
    <t>Mille-feuille</t>
  </si>
  <si>
    <t>Mimolette demi-vieille</t>
  </si>
  <si>
    <t>Mimolette extra-vieille</t>
  </si>
  <si>
    <t>Mimolette jeune</t>
  </si>
  <si>
    <t>Mimolette vieille</t>
  </si>
  <si>
    <t>Mimolette, sans précision</t>
  </si>
  <si>
    <t>Miso</t>
  </si>
  <si>
    <t>Mont d'or ou Vacherin du Haut-Doubs (produit en France) ou Vacherin-Mont d'Or (produit en Suisse)</t>
  </si>
  <si>
    <t>Morbier</t>
  </si>
  <si>
    <t>Mortadelle</t>
  </si>
  <si>
    <t>Mortadelle pistachée pur porc</t>
  </si>
  <si>
    <t>Mortadelle, porc et boeuf</t>
  </si>
  <si>
    <t>Mortadelle, pur porc</t>
  </si>
  <si>
    <t>Morue, salée, bouillie/cuite à l'eau</t>
  </si>
  <si>
    <t>Morue, salée, sèche</t>
  </si>
  <si>
    <t>Moule commune, crue</t>
  </si>
  <si>
    <t>Moule de Méditerranée, crue</t>
  </si>
  <si>
    <t>Moule, appertisée, égouttée</t>
  </si>
  <si>
    <t>Moule, bouillie/cuite à l'eau</t>
  </si>
  <si>
    <t>Moules à la sauce catalane ou escabèche (tomate), appertisée, égouttée</t>
  </si>
  <si>
    <t>Moules farcies (matière grasse, persillade…), crues</t>
  </si>
  <si>
    <t>Moules marinières (oignons et vin blanc)</t>
  </si>
  <si>
    <t>Moussaka</t>
  </si>
  <si>
    <t>Mousse à la crème de marrons, rayon frais</t>
  </si>
  <si>
    <t>Mousse au chocolat (base laitière), rayon frais</t>
  </si>
  <si>
    <t>Mousse au chocolat traditionnelle, rayon frais</t>
  </si>
  <si>
    <t>Mousse aux fruits, rayon frais</t>
  </si>
  <si>
    <t>Mousse de canard</t>
  </si>
  <si>
    <t>Mousse de foie de porc</t>
  </si>
  <si>
    <t>Mousse de foie de porc supérieure ou Crème de foie</t>
  </si>
  <si>
    <t>Mousse liégeoise (chocolat, café, caramel ou vanille), rayon frais</t>
  </si>
  <si>
    <t>Moutarde</t>
  </si>
  <si>
    <t>condiments</t>
  </si>
  <si>
    <t>Moutarde à l'ancienne</t>
  </si>
  <si>
    <t>Mouton, épaule, crue</t>
  </si>
  <si>
    <t>Mouton, gigot, cru</t>
  </si>
  <si>
    <t>Mouton, pied, cru</t>
  </si>
  <si>
    <t>Mouton, tête, crue</t>
  </si>
  <si>
    <t>Mouton, viande, crue</t>
  </si>
  <si>
    <t>Mozzarella au lait de vache</t>
  </si>
  <si>
    <t>Muesli croustillant au chocolat (non enrichi en vitamines et minéraux)</t>
  </si>
  <si>
    <t>Muesli croustillant au chocolat, avec ou sans fruits, enrichi en vitamines et minéraux</t>
  </si>
  <si>
    <t>Muesli croustillant aux fruits et/ou fruits secs, graines (non enrichi en vitamines et minéraux)</t>
  </si>
  <si>
    <t>Muesli croustillant aux fruits ou fruits secs, enrichi en vitamines et minéraux</t>
  </si>
  <si>
    <t>Muesli floconneux aux fruits ou fruits secs (non enrichi en vitamines et minéraux)</t>
  </si>
  <si>
    <t>Muesli floconneux aux fruits ou fruits secs, enrichi en vitamines et minéraux</t>
  </si>
  <si>
    <t>Muesli floconneux aux fruits ou fruits secs, sans sucres ajoutés</t>
  </si>
  <si>
    <t>Muesli floconneux ou de type traditionnel</t>
  </si>
  <si>
    <t>Muffin anglais, complet, petit pain spécial, préemballé</t>
  </si>
  <si>
    <t>Muffin anglais, petit pain spécial, préemballé</t>
  </si>
  <si>
    <t>Muffin, aux myrtilles ou au chocolat</t>
  </si>
  <si>
    <t>Mulet, cru</t>
  </si>
  <si>
    <t>Mulet, rôti/cuit au four</t>
  </si>
  <si>
    <t>Multi-céréales soufflées ou extrudées, enrichies en vitamines et minéraux</t>
  </si>
  <si>
    <t>Munster</t>
  </si>
  <si>
    <t>Mûre (de ronce), crue</t>
  </si>
  <si>
    <t>Mûre (de ronce), surgelée, crue</t>
  </si>
  <si>
    <t>Mûre noire (du mûrier), crue</t>
  </si>
  <si>
    <t>Museau de boeuf en vinaigrette</t>
  </si>
  <si>
    <t>Museau de porc vinaigrette</t>
  </si>
  <si>
    <t>Myrtille, crue</t>
  </si>
  <si>
    <t>Myrtille, surgelée, crue</t>
  </si>
  <si>
    <t>Navarin d'agneau aux légumes</t>
  </si>
  <si>
    <t>Navet, cuit</t>
  </si>
  <si>
    <t>Navet, pelé, cru</t>
  </si>
  <si>
    <t>Navet, surgelé, cru</t>
  </si>
  <si>
    <t>Nectar d'abricot</t>
  </si>
  <si>
    <t>Nectar de banane</t>
  </si>
  <si>
    <t>Nectar de mangue</t>
  </si>
  <si>
    <t>Nectar de pêche</t>
  </si>
  <si>
    <t>Nectar de poire</t>
  </si>
  <si>
    <t>Nectar d'orange</t>
  </si>
  <si>
    <t>Nectar multifruit, multivitaminé</t>
  </si>
  <si>
    <t>Nectar multifruit, standard</t>
  </si>
  <si>
    <t>Nectarine ou brugnon, pulpe et peau, crue</t>
  </si>
  <si>
    <t>Nem ou Pâté impérial</t>
  </si>
  <si>
    <t>Nem ou Pâté impérial, au porc, cuit</t>
  </si>
  <si>
    <t>Nem ou Pâté impérial, au poulet, cuit</t>
  </si>
  <si>
    <t>Nem ou Pâté impérial, aux crevettes et/ou au crabe, cuit</t>
  </si>
  <si>
    <t>Neufchâtel</t>
  </si>
  <si>
    <t>Noisette</t>
  </si>
  <si>
    <t>Noisette grillée</t>
  </si>
  <si>
    <t>Noisette grillée, salée</t>
  </si>
  <si>
    <t>Noix de cajou, grillée, salée</t>
  </si>
  <si>
    <t>Noix de coco, amande immature, fraîche</t>
  </si>
  <si>
    <t>Noix de coco, amande mûre, fraîche</t>
  </si>
  <si>
    <t>Noix de coco, amande, sèche</t>
  </si>
  <si>
    <t>Noix de macadamia</t>
  </si>
  <si>
    <t>Noix de macadamia, grillée, salée</t>
  </si>
  <si>
    <t>Noix de muscade</t>
  </si>
  <si>
    <t>Noix de pécan</t>
  </si>
  <si>
    <t>Noix de pécan, salées</t>
  </si>
  <si>
    <t>Noix du Brésil</t>
  </si>
  <si>
    <t>Noix, fraîche</t>
  </si>
  <si>
    <t>Noix, séchée, cerneaux</t>
  </si>
  <si>
    <t>Nori (Porphyra sp.), séchée ou déshydratée</t>
  </si>
  <si>
    <t>Nougat glacé</t>
  </si>
  <si>
    <t>Nougat ou touron</t>
  </si>
  <si>
    <t>Nouilles asiatiques aromatisées, déshydratées</t>
  </si>
  <si>
    <t>Nouilles asiatiques cuites, aromatisées</t>
  </si>
  <si>
    <t>Nouilles asiatiques cuites, nature, non salées</t>
  </si>
  <si>
    <t>Nouilles sautées/poêlées aux crevettes</t>
  </si>
  <si>
    <t>Nuggets soja et blé (convient aux véganes ou végétaliens), préemballé</t>
  </si>
  <si>
    <t>25227</t>
  </si>
  <si>
    <t>Oeuf de cane, cru</t>
  </si>
  <si>
    <t>œufs</t>
  </si>
  <si>
    <t>Oeuf de dinde, cru</t>
  </si>
  <si>
    <t>Oeuf d'oie, cru</t>
  </si>
  <si>
    <t>Oeuf, à la coque</t>
  </si>
  <si>
    <t>Oeuf, au plat, sans matière grasse</t>
  </si>
  <si>
    <t>Oeuf, blanc (blanc d'oeuf), cru</t>
  </si>
  <si>
    <t>Oeuf, blanc (blanc d'oeuf), cuit</t>
  </si>
  <si>
    <t>Oeuf, blanc (blanc d'oeuf), en poudre</t>
  </si>
  <si>
    <t>Oeuf, brouillé, avec matière grasse</t>
  </si>
  <si>
    <t>Oeuf, dur</t>
  </si>
  <si>
    <t>Oeuf, en poudre</t>
  </si>
  <si>
    <t>Oeuf, jaune (jaune d'oeuf), cru</t>
  </si>
  <si>
    <t>Oeuf, jaune (jaune d'oeuf), cuit</t>
  </si>
  <si>
    <t>Oeuf, jaune (jaune d'oeuf), en poudre</t>
  </si>
  <si>
    <t>Oeuf, poché</t>
  </si>
  <si>
    <t>Oie, viande crue</t>
  </si>
  <si>
    <t>Oie, viande et peau, crue</t>
  </si>
  <si>
    <t>Oie, viande et peau, rôtie/cuite au four</t>
  </si>
  <si>
    <t>Oie, viande, rôtie/cuite au four</t>
  </si>
  <si>
    <t>Oignon, cru</t>
  </si>
  <si>
    <t>Oignon, cuit</t>
  </si>
  <si>
    <t>Oignon, séché</t>
  </si>
  <si>
    <t>Oignon, surgelé, cru</t>
  </si>
  <si>
    <t>Olives vertes, fourrées ou farcies (anchois, poivrons, etc.)</t>
  </si>
  <si>
    <t>Omble chevalier, cru</t>
  </si>
  <si>
    <t>Omelette au fromage</t>
  </si>
  <si>
    <t>Omelette aux champignons</t>
  </si>
  <si>
    <t>Omelette aux fines herbes</t>
  </si>
  <si>
    <t>Omelette aux lardons</t>
  </si>
  <si>
    <t>Omelette norvégienne</t>
  </si>
  <si>
    <t>Orange, pulpe, crue</t>
  </si>
  <si>
    <t>Oreille de porc demi-sel</t>
  </si>
  <si>
    <t>Orge entière, crue</t>
  </si>
  <si>
    <t>Orge perlée, bouilli/cuite à l'eau, non salée</t>
  </si>
  <si>
    <t>Orge perlée, crue</t>
  </si>
  <si>
    <t>Origan, séché</t>
  </si>
  <si>
    <t>Orphie commune, crue</t>
  </si>
  <si>
    <t>Oseille, crue</t>
  </si>
  <si>
    <t>Ossau-Iraty</t>
  </si>
  <si>
    <t>Osso buco</t>
  </si>
  <si>
    <t>Paëlla</t>
  </si>
  <si>
    <t>Pain au chocolat feuilleté, artisanal</t>
  </si>
  <si>
    <t>Pain au chocolat, préemballé</t>
  </si>
  <si>
    <t>Pain au lait aux pépites de chocolat, préemballé</t>
  </si>
  <si>
    <t>Pain au lait, artisanal</t>
  </si>
  <si>
    <t>Pain au lait, préemballé</t>
  </si>
  <si>
    <t>Pain au son</t>
  </si>
  <si>
    <t>Pain aux raisins (viennoiserie)</t>
  </si>
  <si>
    <t>Pain blanc maison (avec farine pour machine à pain)</t>
  </si>
  <si>
    <t>Pain brioché ou viennois</t>
  </si>
  <si>
    <t>Pain complet ou intégral (à la farine T150)</t>
  </si>
  <si>
    <t>Pain courant français, 400g ou boule</t>
  </si>
  <si>
    <t>Pain de campagne maison (avec farine pour machine à pain)</t>
  </si>
  <si>
    <t>Pain de mie brioché, préemballé</t>
  </si>
  <si>
    <t>Pain de mie, au son</t>
  </si>
  <si>
    <t>Pain de mie, complet</t>
  </si>
  <si>
    <t>Pain de mie, courant</t>
  </si>
  <si>
    <t>Pain de mie, multicéréale</t>
  </si>
  <si>
    <t>Pain de mie, sans croûte, préemballé</t>
  </si>
  <si>
    <t>Pain de seigle, et froment</t>
  </si>
  <si>
    <t>Pain d'épices</t>
  </si>
  <si>
    <t>Pain grillé brioché, tranché, préemballé</t>
  </si>
  <si>
    <t>Pain grillé suédois au blé complet</t>
  </si>
  <si>
    <t>Pain grillé suédois au froment</t>
  </si>
  <si>
    <t>Pain grillé suédois aux fruits</t>
  </si>
  <si>
    <t>Pain grillé suédois aux graines de lin</t>
  </si>
  <si>
    <t>Pain grillé, domestique</t>
  </si>
  <si>
    <t>Pain grillé, tranches, au froment</t>
  </si>
  <si>
    <t>Pain grillé, tranches, multicéréale</t>
  </si>
  <si>
    <t>Pain panini</t>
  </si>
  <si>
    <t>Pain perdu</t>
  </si>
  <si>
    <t>Pain pita</t>
  </si>
  <si>
    <t>Pain pour hamburger ou hot dog (bun), complet, préemballé</t>
  </si>
  <si>
    <t>Pain pour hamburger ou hot dog (bun), préemballé</t>
  </si>
  <si>
    <t>Pain, baguette ou boule, au levain</t>
  </si>
  <si>
    <t>Pain, baguette ou boule, aux céréales et graines, artisanal</t>
  </si>
  <si>
    <t>Pain, baguette ou boule, bio (à la farine T55 jusqu'à T110)</t>
  </si>
  <si>
    <t>Pain, baguette ou boule, bis (à la farine T80 ou T110) </t>
  </si>
  <si>
    <t>Pain, baguette ou boule, de campagne</t>
  </si>
  <si>
    <t>Pain, baguette, courante</t>
  </si>
  <si>
    <t>Pain, baguette, de tradition française</t>
  </si>
  <si>
    <t>Pain, baguette, sans sel</t>
  </si>
  <si>
    <t>Pain, sans gluten</t>
  </si>
  <si>
    <t>Palet ou galette de légumes, préfrit, surgelé</t>
  </si>
  <si>
    <t>Palet ou galette de légumes, préfrit, surgelé, cuit</t>
  </si>
  <si>
    <t>Palmier, artisanal</t>
  </si>
  <si>
    <t>Pamplemousse chinois, pulpe, cru</t>
  </si>
  <si>
    <t>Pan bagnat</t>
  </si>
  <si>
    <t>Panaché (limonade et bière)</t>
  </si>
  <si>
    <t>Panaché préemballé (&lt;1° alc.)</t>
  </si>
  <si>
    <t>Panais, cru</t>
  </si>
  <si>
    <t>Panais, cuit</t>
  </si>
  <si>
    <t>Pancetta ou Poitrine roulée sèche</t>
  </si>
  <si>
    <t>Panga, Pangasius, ou poisson-chat du Mékong, filet, cuit</t>
  </si>
  <si>
    <t>Pangasius ou Poisson-chat, cru</t>
  </si>
  <si>
    <t>Panna cotta, rayon frais</t>
  </si>
  <si>
    <t>Papaye, pulpe, crue</t>
  </si>
  <si>
    <t>Paprika</t>
  </si>
  <si>
    <t>Parmentier de canard</t>
  </si>
  <si>
    <t>Parmentier de canard, cuit</t>
  </si>
  <si>
    <t>Parmesan</t>
  </si>
  <si>
    <t>Pastèque, pulpe, crue</t>
  </si>
  <si>
    <t>Pastilla au poulet</t>
  </si>
  <si>
    <t>Pastis</t>
  </si>
  <si>
    <t>Patate douce, crue</t>
  </si>
  <si>
    <t>Patate douce, cuite</t>
  </si>
  <si>
    <t>Patate douce, purée, cuisinée à la crème</t>
  </si>
  <si>
    <t>Pâte à pizza crue</t>
  </si>
  <si>
    <t>Pâte à pizza cuite</t>
  </si>
  <si>
    <t>Pâte à pizza fine, crue</t>
  </si>
  <si>
    <t>Pâte à tartiner chocolat et noisette</t>
  </si>
  <si>
    <t>Pâté au poivre vert</t>
  </si>
  <si>
    <t>Pâté breton</t>
  </si>
  <si>
    <t>Pâte brisée, crue</t>
  </si>
  <si>
    <t>Pâte brisée, matière grasse végétale, cuite</t>
  </si>
  <si>
    <t>Pâte brisée, pur beurre, crue</t>
  </si>
  <si>
    <t>Pâte brisée, pur beurre, surgelée, crue</t>
  </si>
  <si>
    <t>Pâte d'amande, préemballée</t>
  </si>
  <si>
    <t>Pâté de foie de porc</t>
  </si>
  <si>
    <t>Pâté de foie de porc, supérieur</t>
  </si>
  <si>
    <t>Pâté de foie de volaille</t>
  </si>
  <si>
    <t>Pâté de foie d'oie</t>
  </si>
  <si>
    <t>Pâte de fruits</t>
  </si>
  <si>
    <t>Pâté de gibier</t>
  </si>
  <si>
    <t>Pâté de lapin</t>
  </si>
  <si>
    <t>Pâté en croûte</t>
  </si>
  <si>
    <t>Pâte feuilletée pur beurre, crue</t>
  </si>
  <si>
    <t>Pâte feuilletée pur beurre, cuite</t>
  </si>
  <si>
    <t>Pâte feuilletée pur beurre, surgelée crue</t>
  </si>
  <si>
    <t>Pâte feuilletée, cuite</t>
  </si>
  <si>
    <t>Pâte feuilletée, matière grasse végétale, crue</t>
  </si>
  <si>
    <t>Pâte feuilletée, surgelée, crue</t>
  </si>
  <si>
    <t>Pâté ou terrine aux champignons (forestier)</t>
  </si>
  <si>
    <t>Pâté ou terrine de campagne</t>
  </si>
  <si>
    <t>Pâte phyllo ou Pâte filo, crue</t>
  </si>
  <si>
    <t>Pâte sablée pur beurre, crue</t>
  </si>
  <si>
    <t>Pâte sablée pur beurre, cuite</t>
  </si>
  <si>
    <t>Pâte sablée pur beurre, surgelée, crue</t>
  </si>
  <si>
    <t>Pâte sablée, crue</t>
  </si>
  <si>
    <t>Pâte sablée, cuite</t>
  </si>
  <si>
    <t>Pâtes à la bolognaise (spaghetti, tagliatelles…)</t>
  </si>
  <si>
    <t>Pâtes à la carbonara (spaghetti, tagliatelles…)</t>
  </si>
  <si>
    <t>Pâtes en sauce aux fromages (spaghetti, tagliatelles…)</t>
  </si>
  <si>
    <t>Pâtes fraîches farcies (ex : ravioli), aux légumes, crues</t>
  </si>
  <si>
    <t>Pâtes fraîches farcies (ex : raviolis), à la viande (ex : bolognaise), crues</t>
  </si>
  <si>
    <t>Pâtes fraîches farcies (ex : raviolis), à la viande (ex : bolognaise), cuites</t>
  </si>
  <si>
    <t>Pâtes fraîches farcies (ex : raviolis), au fromage et aux légumes, crues</t>
  </si>
  <si>
    <t>Pâtes fraîches farcies (ex : raviolis), au fromage et aux légumes, cuites</t>
  </si>
  <si>
    <t>Pâtes fraîches farcies (ex : raviolis), aux légumes, cuites</t>
  </si>
  <si>
    <t>Pâtes fraîches farcies (ex : raviolis, ravioles du Dauphiné), au fromage, crues</t>
  </si>
  <si>
    <t>Pâtes fraîches farcies (ex : raviolis, ravioles du Dauphiné), au fromage, cuites</t>
  </si>
  <si>
    <t>Pâtes fraîches, aux œufs, crues</t>
  </si>
  <si>
    <t>Pâtes fraîches, aux œufs, cuites, non salées</t>
  </si>
  <si>
    <t>Pâtes sèches standard, crues</t>
  </si>
  <si>
    <t>Pâtes sèches standard, cuites, non salées</t>
  </si>
  <si>
    <t>Pâtes sèches, au blé complet, crues</t>
  </si>
  <si>
    <t>Pâtes sèches, au blé complet, cuites, non salées</t>
  </si>
  <si>
    <t>Pâtes sèches, aux œufs, crues</t>
  </si>
  <si>
    <t>Pâtes sèches, aux œufs, cuites, non salées</t>
  </si>
  <si>
    <t>Pâtes sèches, sans gluten, crues</t>
  </si>
  <si>
    <t>Pâtes sèches, sans gluten, cuites, non salées</t>
  </si>
  <si>
    <t>Paupiette de veau</t>
  </si>
  <si>
    <t>Paupiette de veau, cuite au four</t>
  </si>
  <si>
    <t>Paupiette de volaille</t>
  </si>
  <si>
    <t>Pavot, graine</t>
  </si>
  <si>
    <t>Pêche au sirop léger, appertisée, égouttée</t>
  </si>
  <si>
    <t>Pêche au sirop léger, appertisée, non égouttée</t>
  </si>
  <si>
    <t>Pêche melba</t>
  </si>
  <si>
    <t>Pêche, pulpe et peau, crue</t>
  </si>
  <si>
    <t>Pêche, sèche</t>
  </si>
  <si>
    <t>Pecten d'Amérique ou Peigne du canada, noix, crue</t>
  </si>
  <si>
    <t>Pélardon (fromage de chèvre)</t>
  </si>
  <si>
    <t>Perche du Nil, crue</t>
  </si>
  <si>
    <t>Perche, crue</t>
  </si>
  <si>
    <t>Perche, rôtie/cuite au four</t>
  </si>
  <si>
    <t>Persil, frais</t>
  </si>
  <si>
    <t>Persil, séché</t>
  </si>
  <si>
    <t>Pétales de blé avec noix, noisettes ou amandes, enrichis en vitamines et minéraux</t>
  </si>
  <si>
    <t>Pétales de blé chocolatés (non enrichis en vitamines et minéraux)</t>
  </si>
  <si>
    <t>Pétales de blé chocolatés, enrichis en vitamines et minéraux</t>
  </si>
  <si>
    <t>Pétales de maïs glacés au sucre (non enrichis en vitamines et minéraux)</t>
  </si>
  <si>
    <t>Pétales de maïs glacés au sucre, enrichis en vitamines et minéraux</t>
  </si>
  <si>
    <t>Pétales de maïs natures (non enrichis en vitamines et minéraux)</t>
  </si>
  <si>
    <t>Pétales de maïs natures, enrichis en vitamines et minéraux</t>
  </si>
  <si>
    <t>Pétillant de fruits</t>
  </si>
  <si>
    <t>Petit pot fruit avec banane pour bébé</t>
  </si>
  <si>
    <t>Petit pot fruit sans banane pour bébé</t>
  </si>
  <si>
    <t>Petit pot légumes, avec féculent, dès 4/6 mois</t>
  </si>
  <si>
    <t>petits pots salés et plats infantiles</t>
  </si>
  <si>
    <t>Petit pot légumes, dès 4-6 mois</t>
  </si>
  <si>
    <t>Petit salé ou saucisse aux lentilles</t>
  </si>
  <si>
    <t>Petits pois et carottes, appertisés, égouttés</t>
  </si>
  <si>
    <t>Petits pois et carottes, surgelés, crus</t>
  </si>
  <si>
    <t>Petits pois et carottes, surgelés, cuits</t>
  </si>
  <si>
    <t>Petits pois, appertisés, égouttés</t>
  </si>
  <si>
    <t>Petits pois, crus</t>
  </si>
  <si>
    <t>Petits pois, cuits</t>
  </si>
  <si>
    <t>Petits pois, purée</t>
  </si>
  <si>
    <t>Petits pois, surgelés, crus</t>
  </si>
  <si>
    <t>Petits pois, surgelés, cuits</t>
  </si>
  <si>
    <t>Pétoncle ou Peigne du Pérou, noix, crue</t>
  </si>
  <si>
    <t>Picodon (fromage de chèvre)</t>
  </si>
  <si>
    <t>Pied de porc demi-sel</t>
  </si>
  <si>
    <t>Pigeon, viande, rôtie/cuite au four</t>
  </si>
  <si>
    <t>Pignon de pin</t>
  </si>
  <si>
    <t>Pilchard, sauce tomate, appertisé, égoutté</t>
  </si>
  <si>
    <t>Piment, cru</t>
  </si>
  <si>
    <t>Pintade, crue</t>
  </si>
  <si>
    <t>Pintade, cuisse, crue</t>
  </si>
  <si>
    <t>Pintade, poitrine, crue</t>
  </si>
  <si>
    <t>Piperade basquaise</t>
  </si>
  <si>
    <t>Pissaladière</t>
  </si>
  <si>
    <t>Pissenlit, cru</t>
  </si>
  <si>
    <t>Pistache, grillée</t>
  </si>
  <si>
    <t>Pistache, grillée, salée</t>
  </si>
  <si>
    <t>Pizza 4 fromages</t>
  </si>
  <si>
    <t>Pizza à la viande, type bolognaise</t>
  </si>
  <si>
    <t>Pizza au chèvre et lardons</t>
  </si>
  <si>
    <t>Pizza au chorizo ou salami</t>
  </si>
  <si>
    <t>Pizza au fromage ou Pizza margherita</t>
  </si>
  <si>
    <t>Pizza au poulet</t>
  </si>
  <si>
    <t>Pizza au saumon</t>
  </si>
  <si>
    <t>Pizza au speck ou jambon cru</t>
  </si>
  <si>
    <t>Pizza au thon</t>
  </si>
  <si>
    <t>Pizza aux fruits de mer</t>
  </si>
  <si>
    <t>Pizza aux lardons, oignons et fromage</t>
  </si>
  <si>
    <t>Pizza aux légumes ou Pizza 4 saisons</t>
  </si>
  <si>
    <t>Pizza champignons fromage</t>
  </si>
  <si>
    <t>Pizza jambon fromage</t>
  </si>
  <si>
    <t>Pizza jambon fromage champignons ou pizza royale, reine ou regina</t>
  </si>
  <si>
    <t>Pizza kebab</t>
  </si>
  <si>
    <t>Pizza type raclette ou tartiflette</t>
  </si>
  <si>
    <t>Pizza, sauce garniture pour</t>
  </si>
  <si>
    <t>Plat légumes, avec féculent et lait/crème, dès 12 mois</t>
  </si>
  <si>
    <t>Plat légumes, avec féculent et lait/crème, dès 18 mois</t>
  </si>
  <si>
    <t>Plat légumes, avec féculent et lait/crème, dès 6-8 mois</t>
  </si>
  <si>
    <t>Plat légumes, avec féculent et lait/crème, dès 8-12 mois</t>
  </si>
  <si>
    <t>Plat légumes, avec féculent et viande/poisson, dès 12 mois</t>
  </si>
  <si>
    <t>Plat légumes, avec féculent et viande/poisson, dès 18 mois</t>
  </si>
  <si>
    <t>Plat légumes, avec féculent et viande/poisson, dès 6-8 mois</t>
  </si>
  <si>
    <t>Plat légumes, avec féculent et viande/poisson, dès 8-12 mois</t>
  </si>
  <si>
    <t>Plat légumes, avec féculent, dès 6-8 mois</t>
  </si>
  <si>
    <t>Plie commune, crue</t>
  </si>
  <si>
    <t>Poêlée de légumes assaisonnés à l'asiatiques ou wok de légumes, surgelée, crue</t>
  </si>
  <si>
    <t>Poêlée de légumes assaisonnés aux champignons ("champêtre"), surgelée</t>
  </si>
  <si>
    <t>Poêlée de légumes assaisonnés grillée, méridionale ou méditerranéenne, surgelée, crue</t>
  </si>
  <si>
    <t>Poêlée de légumes assaisonnés sans champignon, surgelée, crue</t>
  </si>
  <si>
    <t>Poêlée de pommes de terre préfrites, lardons ou poulet, et autres, sans légumes verts</t>
  </si>
  <si>
    <t>Poire au sirop léger, appertisée, non égouttée</t>
  </si>
  <si>
    <t>Poire belle Hélène</t>
  </si>
  <si>
    <t>Poire, pulpe et peau, crue</t>
  </si>
  <si>
    <t>Poire, pulpe, crue</t>
  </si>
  <si>
    <t>Poireau, cru</t>
  </si>
  <si>
    <t>Poireau, cuit</t>
  </si>
  <si>
    <t>Poireau, surgelé, cru</t>
  </si>
  <si>
    <t>Pois cassé, cuit</t>
  </si>
  <si>
    <t>Pois cassé, sec</t>
  </si>
  <si>
    <t>Pois chiche, appertisé, égoutté</t>
  </si>
  <si>
    <t>Pois chiche, cuit</t>
  </si>
  <si>
    <t>Pois chiche, sec</t>
  </si>
  <si>
    <t>Pois mange-tout ou pois gourmand, bouilli/cuit à l'eau</t>
  </si>
  <si>
    <t>Pois mange-tout ou pois gourmand, cru</t>
  </si>
  <si>
    <t>Pois mange-tout ou pois gourmands, cuits</t>
  </si>
  <si>
    <t>Poisson blanc à la bordelaise</t>
  </si>
  <si>
    <t>Poisson blanc à la florentine (sauce aux épinards)</t>
  </si>
  <si>
    <t>Poisson blanc à la marinière (sauce aux oignons, vin blanc, moules)</t>
  </si>
  <si>
    <t>Poisson blanc à la parisienne (sauce aux champignons)</t>
  </si>
  <si>
    <t>Poisson blanc à la provençale ou niçoise (sauce tomate)</t>
  </si>
  <si>
    <t>Poisson blanc à la sauce moutarde</t>
  </si>
  <si>
    <t>Poisson blanc à l'estragon</t>
  </si>
  <si>
    <t>Poisson blanc sauce oseille</t>
  </si>
  <si>
    <t>Poisson en sauce, surgelé</t>
  </si>
  <si>
    <t>Poisson pané, frit</t>
  </si>
  <si>
    <t>Poisson pané, surgelé, cru</t>
  </si>
  <si>
    <t>Poisson, croquette ou beignet ou nuggets, frit</t>
  </si>
  <si>
    <t>Poitrine de porc demi-sel</t>
  </si>
  <si>
    <t>Poitrine de porc, fumée, crue</t>
  </si>
  <si>
    <t>Poivre blanc, poudre</t>
  </si>
  <si>
    <t>Poivre de Cayenne ou piment de Cayenne</t>
  </si>
  <si>
    <t>Poivre noir, poudre</t>
  </si>
  <si>
    <t>Poivron jaune, cru</t>
  </si>
  <si>
    <t>Poivron rouge, appertisé, égoutté</t>
  </si>
  <si>
    <t>Poivron rouge, cru</t>
  </si>
  <si>
    <t>Poivron rouge, cuit</t>
  </si>
  <si>
    <t>Poivron vert, cru</t>
  </si>
  <si>
    <t>Poivron vert, cuit</t>
  </si>
  <si>
    <t>Poivron, vert, jaune ou rouge, cru</t>
  </si>
  <si>
    <t>Polenta ou semoule de maïs, cuite, non salée</t>
  </si>
  <si>
    <t>Polenta ou semoule de maïs, précuite, sèche</t>
  </si>
  <si>
    <t>Pomelo (dit Pamplemousse) jaune, pulpe, cru</t>
  </si>
  <si>
    <t>Pomelo (dit Pamplemousse) rose, pulpe, cru</t>
  </si>
  <si>
    <t>Pomelo (dit Pamplemousse), pulpe, cru</t>
  </si>
  <si>
    <t>Pomme Canada, pulpe, crue</t>
  </si>
  <si>
    <t>Pomme de terre dauphine, surgelée, crue</t>
  </si>
  <si>
    <t>Pomme de terre dauphine, surgelée, cuite</t>
  </si>
  <si>
    <t>Pomme de terre de conservation, sans peau, bouillie/cuite à l'eau</t>
  </si>
  <si>
    <t>Pomme de terre duchesse, surgelée, crue</t>
  </si>
  <si>
    <t>Pomme de terre duchesse, surgelée, cuite</t>
  </si>
  <si>
    <t>Pomme de terre noisette, surgelée, crue</t>
  </si>
  <si>
    <t>Pomme de terre noisette, surgelée, cuite</t>
  </si>
  <si>
    <t>Pomme de terre nouvelle, crue</t>
  </si>
  <si>
    <t>Pomme de terre primeur, sans peau, bouillie/cuite à l'eau</t>
  </si>
  <si>
    <t>Pomme de terre rissolée, surgelée, crue</t>
  </si>
  <si>
    <t>Pomme de terre rissolée, surgelée, cuite</t>
  </si>
  <si>
    <t>Pomme de terre sautée/poêlée à la graisse de canard</t>
  </si>
  <si>
    <t>Pomme de terre vapeur, sous vide</t>
  </si>
  <si>
    <t>Pomme de terre, bouillie/cuite à l'eau</t>
  </si>
  <si>
    <t>Pomme de terre, flocons déshydratés, au lait ou à la crème</t>
  </si>
  <si>
    <t>Pomme de terre, flocons déshydratés, nature</t>
  </si>
  <si>
    <t>Pomme de terre, purée à base de flocons, reconstituée avec lait demi-écrémé et eau, non salée</t>
  </si>
  <si>
    <t>Pomme de terre, purée à base de flocons, reconstituée avec lait entier, matière grasse</t>
  </si>
  <si>
    <t>Pomme de terre, purée, avec lait et beurre, non salée</t>
  </si>
  <si>
    <t>Pomme de terre, rôtie/cuite au four</t>
  </si>
  <si>
    <t>Pomme de terre, sans peau, crue</t>
  </si>
  <si>
    <t>Pomme de terre, sans peau, cuite au four</t>
  </si>
  <si>
    <t>Pomme de terre, sautée/poêlée</t>
  </si>
  <si>
    <t>Pomme Golden, pulpe et peau, crue</t>
  </si>
  <si>
    <t>Pomme, pulpe et peau, crue</t>
  </si>
  <si>
    <t>Pomme, pulpe, bouillie/cuite à l'eau</t>
  </si>
  <si>
    <t>Pomme, pulpe, crue</t>
  </si>
  <si>
    <t>Pomme, pulpe, rôtie/cuite au four</t>
  </si>
  <si>
    <t>Pomme, sèche</t>
  </si>
  <si>
    <t>Pont l'Évêque</t>
  </si>
  <si>
    <t>Pop-corn ou Maïs éclaté, à l'air, non salé</t>
  </si>
  <si>
    <t>Pop-corn ou Maïs éclaté, à l'huile, salé</t>
  </si>
  <si>
    <t>Pop-corn ou Maïs éclaté, au caramel</t>
  </si>
  <si>
    <t>Porc au caramel</t>
  </si>
  <si>
    <t>Porc, bardière découennée, crue</t>
  </si>
  <si>
    <t>Porc, carré, cru</t>
  </si>
  <si>
    <t>Porc, carré, cuit</t>
  </si>
  <si>
    <t>Porc, côte, crue</t>
  </si>
  <si>
    <t>Porc, côte, grillée</t>
  </si>
  <si>
    <t>Porc, échine, crue</t>
  </si>
  <si>
    <t>Porc, échine, rôtie/cuite au four</t>
  </si>
  <si>
    <t>Porc, épaule, crue</t>
  </si>
  <si>
    <t>Porc, épaule, cuite</t>
  </si>
  <si>
    <t>Porc, escalope de jambon, crue</t>
  </si>
  <si>
    <t>Porc, escalope de jambon, cuite</t>
  </si>
  <si>
    <t>Porc, filet mignon, cru</t>
  </si>
  <si>
    <t>Porc, filet mignon, cuit</t>
  </si>
  <si>
    <t>Porc, filet, maigre, cru</t>
  </si>
  <si>
    <t>Porc, filet, maigre, en rôti, cuit</t>
  </si>
  <si>
    <t>Porc, gorge, découennée, crue</t>
  </si>
  <si>
    <t>Porc, hachage sans jarret, sans bateau, découenné, dégraisssé, désossé, cru</t>
  </si>
  <si>
    <t>Porc, jambon sans jarret, sans bateau, découenné, dégraisssé, désossé, cru</t>
  </si>
  <si>
    <t>Porc, jambonneau arrière, découenné, dégraisssé, désossé, cru</t>
  </si>
  <si>
    <t>Porc, jarret, cru</t>
  </si>
  <si>
    <t>Porc, longe, crue</t>
  </si>
  <si>
    <t>Porc, longe, cuite</t>
  </si>
  <si>
    <t>Porc, maigre 80/20, cru</t>
  </si>
  <si>
    <t>Porc, maigre 90/10, cru</t>
  </si>
  <si>
    <t>Porc, palette, découennée, dégraisssée, désossée, crue</t>
  </si>
  <si>
    <t>Porc, poitrine cutter, sans mouille, crue</t>
  </si>
  <si>
    <t>Porc, poitrine, crue</t>
  </si>
  <si>
    <t>Porc, rôti filet avec chaînette, cru</t>
  </si>
  <si>
    <t>Porc, rôti, cru</t>
  </si>
  <si>
    <t>Porc, rôti, cuit</t>
  </si>
  <si>
    <t>Porc, rouelle de jambon, crue</t>
  </si>
  <si>
    <t>Porc, rouelle de jambon, cuite</t>
  </si>
  <si>
    <t>Porc, travers, braisé</t>
  </si>
  <si>
    <t>Porc, travers, cru</t>
  </si>
  <si>
    <t>Pot-au-feu</t>
  </si>
  <si>
    <t>Potée auvergnate (chou et porc)</t>
  </si>
  <si>
    <t>Potimarron, pulpe, cru</t>
  </si>
  <si>
    <t>Potiron, appertisé, égoutté</t>
  </si>
  <si>
    <t>Potiron, cru</t>
  </si>
  <si>
    <t>Potiron, cuit</t>
  </si>
  <si>
    <t>Poudre cacaotée ou au chocolat pour boisson, sucrée</t>
  </si>
  <si>
    <t>Poudre cacaotée ou au chocolat pour boisson, sucrée, enrichie en vitamines</t>
  </si>
  <si>
    <t>Poudre cacaotée ou au chocolat sucrée pour boisson, enrichie en vitamines et minéraux</t>
  </si>
  <si>
    <t>Poule, cuisse, crue</t>
  </si>
  <si>
    <t>Poule, viande ,crue</t>
  </si>
  <si>
    <t>Poule, viande et peau, crue</t>
  </si>
  <si>
    <t>Poulet (var. blanc), viande et peau, cru</t>
  </si>
  <si>
    <t>Poulet au curry et au lait de coco</t>
  </si>
  <si>
    <t>Poulet basquaise</t>
  </si>
  <si>
    <t>Poulet éviscéré sans abats, cru</t>
  </si>
  <si>
    <t>Poulet fermier, viande et peau, cru</t>
  </si>
  <si>
    <t>Poulet, aile, viande et peau, cru</t>
  </si>
  <si>
    <t>Poulet, aile, viande et peau, rôti/cuit au four</t>
  </si>
  <si>
    <t>Poulet, croquette panée ou nuggets</t>
  </si>
  <si>
    <t>Poulet, cuisse, viande et peau, bouilli/cuit à l'eau</t>
  </si>
  <si>
    <t>Poulet, cuisse, viande et peau, cru</t>
  </si>
  <si>
    <t>Poulet, cuisse, viande et peau, rôtie/cuite au four</t>
  </si>
  <si>
    <t>Poulet, cuisse, viande, bouilli/cuit à l'eau</t>
  </si>
  <si>
    <t>Poulet, cuisse, viande, cru</t>
  </si>
  <si>
    <t>Poulet, cuisse, viande, rôti/cuit au four</t>
  </si>
  <si>
    <t>Poulet, escalope panée</t>
  </si>
  <si>
    <t>Poulet, filet, sans peau, cru</t>
  </si>
  <si>
    <t>Poulet, filet, sans peau, cuit</t>
  </si>
  <si>
    <t>Poulet, haut de cuisse, viande, cru</t>
  </si>
  <si>
    <t>Poulet, manchons marinés, rôtis/cuits au four</t>
  </si>
  <si>
    <t>Poulet, pilon, cru</t>
  </si>
  <si>
    <t>Poulet, poitrine, viande et peau, cru</t>
  </si>
  <si>
    <t>Poulet, poitrine, viande et peau, rôti/cuit au four</t>
  </si>
  <si>
    <t>Poulet, viande et peau, cru</t>
  </si>
  <si>
    <t>Poulet, viande et peau, rôti/cuit au four</t>
  </si>
  <si>
    <t>Poulet, viande, crue</t>
  </si>
  <si>
    <t>Pouligny Saint-Pierre (fromage de chèvre)</t>
  </si>
  <si>
    <t>Préparation culinaire à base de soja, type "crème de soja"</t>
  </si>
  <si>
    <t>Printanière de légumes, surgelée, crue (haricots verts, carottes, pomme de terre, petits pois, oignons)</t>
  </si>
  <si>
    <t>Profiterole avec glace vanille et sauce chocolat</t>
  </si>
  <si>
    <t>Profiteroles (crème pâtissière et sauce chocolat), rayon frais</t>
  </si>
  <si>
    <t>Protéine de soja texturée</t>
  </si>
  <si>
    <t>Protéine de soja texturée, réhydratée</t>
  </si>
  <si>
    <t>Provolone</t>
  </si>
  <si>
    <t>Prune Reine-Claude, crue</t>
  </si>
  <si>
    <t>Prune, crue</t>
  </si>
  <si>
    <t>Pruneau, sec</t>
  </si>
  <si>
    <t>Purée de fruits, tout type de fruits, type "compote sans sucres ajoutés"</t>
  </si>
  <si>
    <t>Quatre épices</t>
  </si>
  <si>
    <t>Quatre-quarts ou barre pâtissière, préemballé</t>
  </si>
  <si>
    <t>Quenelle de poisson, crue</t>
  </si>
  <si>
    <t>Quenelle de poisson, en sauce</t>
  </si>
  <si>
    <t>Quenelle de veau, en sauce</t>
  </si>
  <si>
    <t>Quenelle de volaille, crue</t>
  </si>
  <si>
    <t>Quenelle de volaille, en sauce</t>
  </si>
  <si>
    <t>Quenelle nature, crue</t>
  </si>
  <si>
    <t>Quiche lorraine</t>
  </si>
  <si>
    <t>Quinoa FR, cru</t>
  </si>
  <si>
    <t>Quinoa FR, cuit</t>
  </si>
  <si>
    <t>Quinoa, bouilli/cuit à l'eau, non salé</t>
  </si>
  <si>
    <t>Quinoa, cru</t>
  </si>
  <si>
    <t>Raclette (fromage)</t>
  </si>
  <si>
    <t>Radis noir, cru</t>
  </si>
  <si>
    <t>Radis rouge, cru</t>
  </si>
  <si>
    <t>Raie, crue</t>
  </si>
  <si>
    <t>Raie, cuite au court-bouillon</t>
  </si>
  <si>
    <t>Raie, rôtie/cuite au four</t>
  </si>
  <si>
    <t>Raifort, cru</t>
  </si>
  <si>
    <t>Raisin blanc, à gros grain (type Italia ou Dattier), cru</t>
  </si>
  <si>
    <t>Raisin noir, cru</t>
  </si>
  <si>
    <t>Raisin, cru</t>
  </si>
  <si>
    <t>Raisin, sec</t>
  </si>
  <si>
    <t>Rascasse, crue</t>
  </si>
  <si>
    <t>Rascasse, cuite à la vapeur</t>
  </si>
  <si>
    <t>Ratatouille cuisinée</t>
  </si>
  <si>
    <t>Ravioli à la viande, sauce tomate, appertisé</t>
  </si>
  <si>
    <t>Ravioli chinois à la vapeur à la crevette, cuit</t>
  </si>
  <si>
    <t>Raviolis aux légumes, sauce tomate, appertisés</t>
  </si>
  <si>
    <t>Reblochon</t>
  </si>
  <si>
    <t>Requin, cru</t>
  </si>
  <si>
    <t>Rhubarbe, tige, crue</t>
  </si>
  <si>
    <t>Rhubarbe, tige, cuite, sucrée</t>
  </si>
  <si>
    <t>Rhum</t>
  </si>
  <si>
    <t>Rillettes de canard</t>
  </si>
  <si>
    <t>Rillettes de maquereau</t>
  </si>
  <si>
    <t>Rillettes de poisson</t>
  </si>
  <si>
    <t>Rillettes de poulet</t>
  </si>
  <si>
    <t>Rillettes de saumon</t>
  </si>
  <si>
    <t>Rillettes de thon</t>
  </si>
  <si>
    <t>Rillettes de Tours</t>
  </si>
  <si>
    <t>Rillettes d'oie</t>
  </si>
  <si>
    <t>Rillettes du Mans</t>
  </si>
  <si>
    <t>Rillettes pur oie</t>
  </si>
  <si>
    <t>Rillettes pur porc</t>
  </si>
  <si>
    <t>Rillettes traditionnelles de porc</t>
  </si>
  <si>
    <t>Ris, agneau, cru</t>
  </si>
  <si>
    <t>Ris, agneau, cuit</t>
  </si>
  <si>
    <t>Ris, veau, braisé ou sauté/poêlé</t>
  </si>
  <si>
    <t>Ris, veau, cru</t>
  </si>
  <si>
    <t>Risotto, aux fromages</t>
  </si>
  <si>
    <t>Risotto, aux fruits de mer</t>
  </si>
  <si>
    <t>Risotto, aux légumes</t>
  </si>
  <si>
    <t>Riste d'aubergines (aubergines, tomates, oignons)</t>
  </si>
  <si>
    <t>Riz au lait, rayon frais</t>
  </si>
  <si>
    <t>Riz blanc étuvé, cru</t>
  </si>
  <si>
    <t>Riz blanc étuvé, cuit, non salé</t>
  </si>
  <si>
    <t>Riz blanc, cru</t>
  </si>
  <si>
    <t>Riz blanc, cuit, avec légumes et viande</t>
  </si>
  <si>
    <t>Riz blanc, cuit, avec poulet</t>
  </si>
  <si>
    <t>Riz blanc, cuit, non salé</t>
  </si>
  <si>
    <t>Riz cantonais</t>
  </si>
  <si>
    <t>Riz complet, cru</t>
  </si>
  <si>
    <t>Riz complet, cuit, non salé</t>
  </si>
  <si>
    <t>Riz rouge, cru</t>
  </si>
  <si>
    <t>Riz rouge, cuit, non salé</t>
  </si>
  <si>
    <t>Riz sauvage, cru</t>
  </si>
  <si>
    <t>Riz sauvage, cuit, non salé</t>
  </si>
  <si>
    <t>Riz thaï ou basmati, cru</t>
  </si>
  <si>
    <t>Riz, mélange de variétés (blanc, complet, rouge, sauvage, etc.), cru</t>
  </si>
  <si>
    <t>Rocamadour (fromage de chèvre)</t>
  </si>
  <si>
    <t>Rocher chocolat fourré praliné</t>
  </si>
  <si>
    <t>Rocher coco ou Congolais (petit gâteau à la noix de coco)</t>
  </si>
  <si>
    <t>Rognon, agneau, braisé</t>
  </si>
  <si>
    <t>Rognon, agneau, cru</t>
  </si>
  <si>
    <t>Rognon, boeuf, cru</t>
  </si>
  <si>
    <t>Rognon, boeuf, cuit</t>
  </si>
  <si>
    <t>Rognon, porc, cru</t>
  </si>
  <si>
    <t>Rognon, porc, cuit</t>
  </si>
  <si>
    <t>Rognon, veau, braisé ou sauté/poêlé</t>
  </si>
  <si>
    <t>Rognon, veau, cru</t>
  </si>
  <si>
    <t>Romarin, frais</t>
  </si>
  <si>
    <t>Romarin, séché</t>
  </si>
  <si>
    <t>Rond de jambon cuit</t>
  </si>
  <si>
    <t>Roquefort</t>
  </si>
  <si>
    <t>Roquette, crue</t>
  </si>
  <si>
    <t>Rosette ou Fuseau</t>
  </si>
  <si>
    <t>Rostis ou Galette de pomme de terre</t>
  </si>
  <si>
    <t>Rôti de volaille en salaison, cuit</t>
  </si>
  <si>
    <t>Rouget-barbet de roche, cru</t>
  </si>
  <si>
    <t>Rouget-barbet de roche, vapeur</t>
  </si>
  <si>
    <t>Rouget-barbet, filet avec peau, surgelé, cru (Thaïlande, Sénégal…)</t>
  </si>
  <si>
    <t>Roulade de porc pistachée</t>
  </si>
  <si>
    <t>Rouleau de printemps</t>
  </si>
  <si>
    <t>Roussette ou petite roussette ou saumonette, crue</t>
  </si>
  <si>
    <t>Roussette ou petite roussette ou saumonette, cuite</t>
  </si>
  <si>
    <t>Rutabaga, cru</t>
  </si>
  <si>
    <t>Rutabaga, cuit</t>
  </si>
  <si>
    <t>Sablé à la noix de coco</t>
  </si>
  <si>
    <t>Sablé au cacao ou chocolat, au praliné ou autre</t>
  </si>
  <si>
    <t>Sablé aux fruits (pomme, fruits rouges, etc.)</t>
  </si>
  <si>
    <t>Sablé pâtissier</t>
  </si>
  <si>
    <t>Sabre, cru</t>
  </si>
  <si>
    <t>Safran</t>
  </si>
  <si>
    <t>Saindoux</t>
  </si>
  <si>
    <t>Sainte-Maure (fromage de chèvre)</t>
  </si>
  <si>
    <t>Sainte-Maure de Touraine (fromage de chèvre)</t>
  </si>
  <si>
    <t>Saint-Félicien</t>
  </si>
  <si>
    <t>Saint-Marcellin</t>
  </si>
  <si>
    <t>Saint-Nectaire, fermier</t>
  </si>
  <si>
    <t>Saint-Nectaire, laitier</t>
  </si>
  <si>
    <t>Saint-Nectaire, sans précision</t>
  </si>
  <si>
    <t>Saint-Paulin (fromage à pâte pressée non cuite demi-ferme)</t>
  </si>
  <si>
    <t>Saint-Pierre, cru</t>
  </si>
  <si>
    <t>Saké ou Alcool de riz</t>
  </si>
  <si>
    <t>Salade César au poulet (salade verte, fromage, croûtos, sauce)</t>
  </si>
  <si>
    <t>Salade composée avec viande ou poisson, appertisée, égouttée</t>
  </si>
  <si>
    <t>Salade de chou ou Coleslaw, avec sauce, préemballée</t>
  </si>
  <si>
    <t>Salade de fruits, crue</t>
  </si>
  <si>
    <t>Salade de pâtes aux légumes, avec poisson ou viande</t>
  </si>
  <si>
    <t>Salade de pâtes, végétarienne</t>
  </si>
  <si>
    <t>Salade de pomme de terre à la piémontaise, préemballée</t>
  </si>
  <si>
    <t>Salade de pommes de terre maison</t>
  </si>
  <si>
    <t>Salade de riz</t>
  </si>
  <si>
    <t>Salade de thon et légumes, appertisée, égouttée</t>
  </si>
  <si>
    <t>Salade ou chicorée frisée, crue</t>
  </si>
  <si>
    <t>Salade verte, crue, sans assaisonnement</t>
  </si>
  <si>
    <t>Salami</t>
  </si>
  <si>
    <t>Salami porc et boeuf</t>
  </si>
  <si>
    <t>Salami pur porc</t>
  </si>
  <si>
    <t>Salami type danois</t>
  </si>
  <si>
    <t>Salers</t>
  </si>
  <si>
    <t>Salicorne (Salicornia sp.), fraîche</t>
  </si>
  <si>
    <t>Salsifis noir, cru</t>
  </si>
  <si>
    <t>Salsifis, appertisé, égoutté</t>
  </si>
  <si>
    <t>Salsifis, cuit</t>
  </si>
  <si>
    <t>Salsifis, surgelé, cru</t>
  </si>
  <si>
    <t>Samossas ou Samoussas</t>
  </si>
  <si>
    <t>Sandwich baguette, camembert, beurre</t>
  </si>
  <si>
    <t>Sandwich baguette, crudités diverses, mayonnaise</t>
  </si>
  <si>
    <t>Sandwich baguette, dinde, crudités (tomate, salade), mayonnaise</t>
  </si>
  <si>
    <t>Sandwich baguette, jambon emmental</t>
  </si>
  <si>
    <t>Sandwich baguette, jambon, beurre</t>
  </si>
  <si>
    <t>Sandwich baguette, jambon, emmental, beurre</t>
  </si>
  <si>
    <t>Sandwich baguette, jambon, oeuf dur, crudités (tomate, salade), beurre</t>
  </si>
  <si>
    <t>Sandwich baguette, merguez, ketchup moutarde</t>
  </si>
  <si>
    <t>Sandwich baguette, oeuf, crudités (tomate, salade), mayonnaise</t>
  </si>
  <si>
    <t>Sandwich baguette, pâté, cornichons</t>
  </si>
  <si>
    <t>Sandwich baguette, porc, crudités (tomate, salade), mayonnaise</t>
  </si>
  <si>
    <t>Sandwich baguette, poulet, crudités (tomate, salade), mayonnaise</t>
  </si>
  <si>
    <t>Sandwich baguette, salami, beurre</t>
  </si>
  <si>
    <t>Sandwich baguette, saucisson, beurre</t>
  </si>
  <si>
    <t>Sandwich baguette, saumon fumé, beurre</t>
  </si>
  <si>
    <t>Sandwich baguette, thon, crudités (tomate, salade), mayonnaise</t>
  </si>
  <si>
    <t>Sandwich baguette, thon, maïs, crudités</t>
  </si>
  <si>
    <t>Sandwich grec ou Kebab, baguette, crudités</t>
  </si>
  <si>
    <t>Sandwich grec ou Kebab, pita, crudités</t>
  </si>
  <si>
    <t>Sandwich pain de mie complet, jambon, crudités, fromage optionnel</t>
  </si>
  <si>
    <t>Sandwich pain de mie complet, jambon, fromage</t>
  </si>
  <si>
    <t>Sandwich pain de mie complet, poulet, crudités, mayonnaise</t>
  </si>
  <si>
    <t>Sandwich pain de mie complet, thon, crudités, mayonnaise</t>
  </si>
  <si>
    <t>Sandwich pain de mie, garnitures diverses</t>
  </si>
  <si>
    <t>Sandwich panini, jambon cru, mozzarella, tomates</t>
  </si>
  <si>
    <t>Sang, boeuf, cru</t>
  </si>
  <si>
    <t>Sangria</t>
  </si>
  <si>
    <t>Sardine, à l'huile d'olive, appertisée, égouttée</t>
  </si>
  <si>
    <t>Sardine, à l'huile, appertisée, égouttée</t>
  </si>
  <si>
    <t>Sardine, crue</t>
  </si>
  <si>
    <t>Sardine, filets sans arêtes à l'huile d'olive, appertisés, égouttés</t>
  </si>
  <si>
    <t>Sardine, grillée</t>
  </si>
  <si>
    <t>Sardine, sauce tomate, appertisée, égouttée</t>
  </si>
  <si>
    <t>Sarrasin entier, cru</t>
  </si>
  <si>
    <t>Sarriette, séchée</t>
  </si>
  <si>
    <t>Sauce à la crème</t>
  </si>
  <si>
    <t>Sauce à la crème aux épices</t>
  </si>
  <si>
    <t>Sauce à la crème aux herbes</t>
  </si>
  <si>
    <t>Sauce à l'échalote à la crème, préemballée</t>
  </si>
  <si>
    <t>Sauce aigre douce, préemballée</t>
  </si>
  <si>
    <t>Sauce aïoli, préemballée</t>
  </si>
  <si>
    <t>Sauce américaine, préemballée</t>
  </si>
  <si>
    <t>Sauce armoricaine, préemballée</t>
  </si>
  <si>
    <t>Sauce au beurre blanc, préemballée</t>
  </si>
  <si>
    <t>Sauce au beurre, préemballée</t>
  </si>
  <si>
    <t>Sauce au chocolat</t>
  </si>
  <si>
    <t>Sauce au curry, préemballée</t>
  </si>
  <si>
    <t>Sauce au fromage pour risotto ou pâtes, préemballée</t>
  </si>
  <si>
    <t>Sauce au poivre vert, préemballée</t>
  </si>
  <si>
    <t>Sauce au poivre, chaude, préemballée</t>
  </si>
  <si>
    <t>Sauce au poivre, condimentaire, froide, préemballée</t>
  </si>
  <si>
    <t>Sauce au roquefort, préemballée</t>
  </si>
  <si>
    <t>Sauce au vin rouge</t>
  </si>
  <si>
    <t>Sauce au yaourt</t>
  </si>
  <si>
    <t>Sauce aux champignons et à la crème, préemballée</t>
  </si>
  <si>
    <t>Sauce aux champignons, préemballée</t>
  </si>
  <si>
    <t>Sauce barbecue, préemballée</t>
  </si>
  <si>
    <t>Sauce basquaise ou Sauce aux poivrons, préemballée</t>
  </si>
  <si>
    <t>Sauce béarnaise, préemballée</t>
  </si>
  <si>
    <t>Sauce béchamel, maison</t>
  </si>
  <si>
    <t>Sauce béchamel, préemballée</t>
  </si>
  <si>
    <t>Sauce bourguignonne, préemballée</t>
  </si>
  <si>
    <t>Sauce burger, préemballée</t>
  </si>
  <si>
    <t>Sauce carbonara, préemballée</t>
  </si>
  <si>
    <t>Sauce chasseur, préemballée</t>
  </si>
  <si>
    <t>Sauce crudités ou Sauce salade, allégée en matière grasse, préemballée</t>
  </si>
  <si>
    <t>Sauce crudités ou Sauce salade, préemballée</t>
  </si>
  <si>
    <t>Sauce grand veneur, préemballée</t>
  </si>
  <si>
    <t>Sauce hollandaise, préemballée</t>
  </si>
  <si>
    <t>Sauce indienne type tandoori ou tikka masala, préemballée</t>
  </si>
  <si>
    <t>Sauce kebab, préemballée</t>
  </si>
  <si>
    <t>Sauce madère, préemballée</t>
  </si>
  <si>
    <t>Sauce moutarde, préemballée</t>
  </si>
  <si>
    <t>Sauce Nuoc Mâm ou Sauce au poisson, préemballée</t>
  </si>
  <si>
    <t>Sauce pesto rosso, préemballée</t>
  </si>
  <si>
    <t>Sauce pesto, préemballée</t>
  </si>
  <si>
    <t>Sauce rouille, préemballée</t>
  </si>
  <si>
    <t>Sauce soja, préemballée</t>
  </si>
  <si>
    <t>Sauce tartare, préemballée</t>
  </si>
  <si>
    <t>Sauce tomate à la viande ou Sauce bolognaise, préemballée</t>
  </si>
  <si>
    <t>Sauce tomate au fromage, préemballée</t>
  </si>
  <si>
    <t>Sauce tomate aux champignons, préemballée</t>
  </si>
  <si>
    <t>Sauce tomate aux oignons, préemballée</t>
  </si>
  <si>
    <t>Sauce tomate aux olives, préemballée</t>
  </si>
  <si>
    <t>Sauce tomate aux petits légumes, préemballée</t>
  </si>
  <si>
    <t>Sauce végétale type bolognaise, préemballée</t>
  </si>
  <si>
    <t>11219</t>
  </si>
  <si>
    <t>Sauce vinaigrette (50 à 75% d'huile), préemballée</t>
  </si>
  <si>
    <t>Saucisse alsacienne fumée ou Gendarme</t>
  </si>
  <si>
    <t>Saucisse cocktail</t>
  </si>
  <si>
    <t>Saucisse de bière</t>
  </si>
  <si>
    <t>Saucisse de foie</t>
  </si>
  <si>
    <t>Saucisse de Francfort</t>
  </si>
  <si>
    <t>Saucisse de jambon pur porc</t>
  </si>
  <si>
    <t>Saucisse de Montbéliard</t>
  </si>
  <si>
    <t>Saucisse de Morteau</t>
  </si>
  <si>
    <t>Saucisse de Morteau, bouillie/cuite à l'eau</t>
  </si>
  <si>
    <t>Saucisse de Strasbourg ou Knack</t>
  </si>
  <si>
    <t>Saucisse de Toulouse, crue</t>
  </si>
  <si>
    <t>Saucisse de Toulouse, cuite</t>
  </si>
  <si>
    <t>Saucisse de volaille, façon charcutière</t>
  </si>
  <si>
    <t>Saucisse de volaille, type Knack</t>
  </si>
  <si>
    <t>Saucisse sèche</t>
  </si>
  <si>
    <t>Saucisse végétale au blé ou seitan, préemballé</t>
  </si>
  <si>
    <t>substituts de charcuterie</t>
  </si>
  <si>
    <t>25232</t>
  </si>
  <si>
    <t>Saucisse végétale au tofu (convient aux véganes ou végétaliens), préemballée</t>
  </si>
  <si>
    <t>20337</t>
  </si>
  <si>
    <t>Saucisse viennoise, crue</t>
  </si>
  <si>
    <t>Saucisson à l'ail</t>
  </si>
  <si>
    <t>Saucisson brioché, cuit</t>
  </si>
  <si>
    <t>Saucisson cuit pur porc</t>
  </si>
  <si>
    <t>Saucisson de Paris</t>
  </si>
  <si>
    <t>Saucisson de Paris, fumé</t>
  </si>
  <si>
    <t>Saucisson sec</t>
  </si>
  <si>
    <t>Saucisson sec aux noix et/ou noisettes</t>
  </si>
  <si>
    <t>Saucisson sec pur porc</t>
  </si>
  <si>
    <t>Saucisson sec pur porc, qualité supérieure</t>
  </si>
  <si>
    <t>Sauge, fraîche</t>
  </si>
  <si>
    <t>Sauge, séchée</t>
  </si>
  <si>
    <t>Saumon à l'oseille</t>
  </si>
  <si>
    <t>Saumon fumé</t>
  </si>
  <si>
    <t>Saumon, appertisé, égoutté</t>
  </si>
  <si>
    <t>Saumon, bouilli/cuit à l'eau, élevage</t>
  </si>
  <si>
    <t>Saumon, cru, élevage</t>
  </si>
  <si>
    <t>Saumon, cuit à la vapeur</t>
  </si>
  <si>
    <t>Saumon, cuit au micro-ondes, élevage</t>
  </si>
  <si>
    <t>Saumon, élevage, rôti/cuit au four</t>
  </si>
  <si>
    <t>Saumon, grillé/poêlé</t>
  </si>
  <si>
    <t>Saupe, crue</t>
  </si>
  <si>
    <t>Scarole, crue</t>
  </si>
  <si>
    <t>Sébaste du nord, ou dorade sébaste, ou daurade sébaste, crue</t>
  </si>
  <si>
    <t>Seigle entier, cru</t>
  </si>
  <si>
    <t>Seitan, préemballé</t>
  </si>
  <si>
    <t>25598</t>
  </si>
  <si>
    <t>Sel au céleri</t>
  </si>
  <si>
    <t>Sel blanc alimentaire, iodé, non fluoré (marin, ignigène ou gemme)</t>
  </si>
  <si>
    <t>Sel blanc alimentaire, non iodé, non fluoré (marin, ignigène ou gemme)</t>
  </si>
  <si>
    <t>Sel marin gris, non iodé, non fluoré</t>
  </si>
  <si>
    <t>Selles-sur-Cher (fromage de chèvre)</t>
  </si>
  <si>
    <t>Semoule au lait, rayon frais</t>
  </si>
  <si>
    <t>Semoule de blé dur, crue</t>
  </si>
  <si>
    <t>Sésame, graine</t>
  </si>
  <si>
    <t>Sésame, graine décortiquée</t>
  </si>
  <si>
    <t>Sésame, grillé, graine décortiquée</t>
  </si>
  <si>
    <t>Sirop à diluer, sucré</t>
  </si>
  <si>
    <t>Sirop d'agave</t>
  </si>
  <si>
    <t>Sirop d'érable</t>
  </si>
  <si>
    <t>Sirop léger pour fruits appertisés au sirop</t>
  </si>
  <si>
    <t>Sirop pour fruits appertisés au sirop</t>
  </si>
  <si>
    <t>Smoothie</t>
  </si>
  <si>
    <t>Snack pour enfants à base de fromage fondu et de gressins</t>
  </si>
  <si>
    <t>Soja, graine entière</t>
  </si>
  <si>
    <t>Sole tropicale ou Sole langue, crue</t>
  </si>
  <si>
    <t>Sole, bouillie/cuite à l'eau</t>
  </si>
  <si>
    <t>Sole, crue</t>
  </si>
  <si>
    <t>Sole, cuite à la vapeur</t>
  </si>
  <si>
    <t>Sole, frite</t>
  </si>
  <si>
    <t>Sole, poêlée</t>
  </si>
  <si>
    <t>Sole, rôtie/cuite au four</t>
  </si>
  <si>
    <t>Son d'avoine</t>
  </si>
  <si>
    <t>Son de blé</t>
  </si>
  <si>
    <t>Son de maïs</t>
  </si>
  <si>
    <t>Son de riz</t>
  </si>
  <si>
    <t>Sorbet, bâtonnet</t>
  </si>
  <si>
    <t>Sorbet, en bac</t>
  </si>
  <si>
    <t>Sorgho entier, cru</t>
  </si>
  <si>
    <t>Soufflé au fromage</t>
  </si>
  <si>
    <t>Soupe à la carotte, préemballée à réchauffer</t>
  </si>
  <si>
    <t>Soupe à la tomate et aux vermicelles, déshydratée reconstituée</t>
  </si>
  <si>
    <t>Soupe à la tomate et aux vermicelles, préemballée à réchauffer</t>
  </si>
  <si>
    <t>Soupe à la tomate, déshydratée reconstituée</t>
  </si>
  <si>
    <t>Soupe à la tomate, préemballée à réchauffer</t>
  </si>
  <si>
    <t>Soupe à la volaille et aux légumes, déshydratée reconstituée</t>
  </si>
  <si>
    <t>Soupe à la volaille et aux légumes, préemballée à réchauffer</t>
  </si>
  <si>
    <t>Soupe à la volaille et aux vermicelles, déshydratée reconstituée</t>
  </si>
  <si>
    <t>Soupe à la volaille et aux vermicelles, préemballée à réchauffer</t>
  </si>
  <si>
    <t>Soupe à l'oignon, déshydratée reconstituée</t>
  </si>
  <si>
    <t>Soupe à l'oignon, préemballée à réchauffer</t>
  </si>
  <si>
    <t>Soupe asiatique, avec pâtes, déshydratée reconstituée</t>
  </si>
  <si>
    <t>Soupe asiatique, avec pâtes, préemballée à réchauffer</t>
  </si>
  <si>
    <t>Soupe au cresson, déshydratée reconstituée</t>
  </si>
  <si>
    <t>Soupe au cresson, préemballée à réchauffer</t>
  </si>
  <si>
    <t>Soupe au pistou, déshydratée reconstituée</t>
  </si>
  <si>
    <t>Soupe au pistou, préemballée à réchauffer</t>
  </si>
  <si>
    <t>Soupe au potiron, déshydratée reconstituée</t>
  </si>
  <si>
    <t>Soupe au potiron, préemballée à réchauffer</t>
  </si>
  <si>
    <t>Soupe aux asperges, déshydratée reconstituée</t>
  </si>
  <si>
    <t>Soupe aux asperges, préemballée à réchauffer</t>
  </si>
  <si>
    <t>Soupe aux céréales et aux légumes, déshydratée reconstituée</t>
  </si>
  <si>
    <t>Soupe aux champignons, déshydratée reconstituée</t>
  </si>
  <si>
    <t>Soupe aux champignons, préemballée à réchauffer</t>
  </si>
  <si>
    <t>Soupe aux légumes avec fromage, préemballée à réchauffer</t>
  </si>
  <si>
    <t>Soupe aux légumes variés, déshydratée reconstituée</t>
  </si>
  <si>
    <t>Soupe aux légumes variés, préemballée à réchauffer</t>
  </si>
  <si>
    <t>Soupe aux légumes verts, déshydratée reconstituée</t>
  </si>
  <si>
    <t>Soupe aux légumes verts, préemballée à réchauffer</t>
  </si>
  <si>
    <t>Soupe aux lentilles, préemballée à réchauffer</t>
  </si>
  <si>
    <t>Soupe aux poireaux et pommes de terre, déshydratée reconstituée</t>
  </si>
  <si>
    <t>Soupe aux poireaux et pommes de terre, préemballée à réchauffer</t>
  </si>
  <si>
    <t>Soupe aux pois cassés, préemballée à réchauffer</t>
  </si>
  <si>
    <t>Soupe chorba frik, à base de viande et de frik</t>
  </si>
  <si>
    <t>Soupe de poissons et / ou crustacés, déshydratée reconstituée</t>
  </si>
  <si>
    <t>Soupe de poissons et / ou crustacés, préemballée à réchauffer</t>
  </si>
  <si>
    <t>Soupe froide type Gaspacho ou Gazpacho</t>
  </si>
  <si>
    <t>Soupe marocaine, déshydratée reconstituée</t>
  </si>
  <si>
    <t>Soupe minestrone, déshydratée reconstituée</t>
  </si>
  <si>
    <t>Soupe minestrone, préemballée à réchauffer</t>
  </si>
  <si>
    <t>Soupe pour bébé légumes et pomme de terre</t>
  </si>
  <si>
    <t>Soupe pour bébé légumes, céréales et lait</t>
  </si>
  <si>
    <t>Spécialité à base de crème légère 8% MG, fluide ou épaisse</t>
  </si>
  <si>
    <t>Spécialité chinoise ou bouchées à la vapeur, cuite</t>
  </si>
  <si>
    <t>Spécialité fromagère fondante au fromage blanc et aux noix</t>
  </si>
  <si>
    <t>Spécialité fromagère non affinée à tartiner environ 30-40 % MG aromatisée (ex: ail et fines herbes)</t>
  </si>
  <si>
    <t>Spécialité fromagère non affinée environ 20% MG, type fromage en barquette à tartiner ou coque fromagère</t>
  </si>
  <si>
    <t>Spécialité fromagère non affinée environ 25% MG, type fromage en barquette à tartiner ou coque fromagère</t>
  </si>
  <si>
    <t>Spécialité végétale type fromage à tartiner, au soja, préemballée</t>
  </si>
  <si>
    <t>Spécialité végétale type fromage en tranche, sans soja, préemballée</t>
  </si>
  <si>
    <t>Spécialité végétale type fromage râpé, sans soja, préemballée</t>
  </si>
  <si>
    <t>Spécialité végétale type jambon cuit, préemballée</t>
  </si>
  <si>
    <t>Spéculoos</t>
  </si>
  <si>
    <t>Spiruline (Spirulina sp.), séchée ou déshydratée</t>
  </si>
  <si>
    <t>Sprat, cru</t>
  </si>
  <si>
    <t>Substitut de repas hypocalorique, crème dessert</t>
  </si>
  <si>
    <t>denrées destinées à une alimentation particulière</t>
  </si>
  <si>
    <t>Substitut de repas hypocalorique, poudre reconstituée avec lait écrémé</t>
  </si>
  <si>
    <t>Substitut de repas hypocalorique, poudre reconstituée avec lait écrémé, type milk-shake</t>
  </si>
  <si>
    <t>Substitut de repas hypocalorique, prêt à boire</t>
  </si>
  <si>
    <t>Sucre blanc</t>
  </si>
  <si>
    <t>Sucre roux</t>
  </si>
  <si>
    <t>Sucre vanillé</t>
  </si>
  <si>
    <t>Sureau, baie, crue</t>
  </si>
  <si>
    <t>Surimi, bâtonnets, tranche ou râpé saveur crabe</t>
  </si>
  <si>
    <t>Surimi, fourré au fromage</t>
  </si>
  <si>
    <t>Sushi ou Maki aux produits de la mer</t>
  </si>
  <si>
    <t>Taboulé ou Salade de couscous au poulet, préemballé</t>
  </si>
  <si>
    <t>Taboulé ou Salade de couscous, préemballé</t>
  </si>
  <si>
    <t>Tacaud, cru</t>
  </si>
  <si>
    <t>Tahin ou Purée de sésame</t>
  </si>
  <si>
    <t>Tajine de mouton</t>
  </si>
  <si>
    <t>Tajine de poulet</t>
  </si>
  <si>
    <t>Tamarin, fruit immature, pulpe, cru</t>
  </si>
  <si>
    <t>Tapenade</t>
  </si>
  <si>
    <t>Tapioca ou Perles du Japon, cru</t>
  </si>
  <si>
    <t>Tarama, préemballé</t>
  </si>
  <si>
    <t>Taro, tubercule, cru</t>
  </si>
  <si>
    <t>Taro, tubercule, cuit</t>
  </si>
  <si>
    <t>Tarte à la provençale</t>
  </si>
  <si>
    <t>Tarte à la tomate</t>
  </si>
  <si>
    <t>Tarte à l'oignon</t>
  </si>
  <si>
    <t>Tarte au chocolat, fabrication artisanale</t>
  </si>
  <si>
    <t>Tarte au citron</t>
  </si>
  <si>
    <t>Tarte au fromage</t>
  </si>
  <si>
    <t>Tarte au maroilles ou Flamiche au maroilles</t>
  </si>
  <si>
    <t>Tarte au saumon</t>
  </si>
  <si>
    <t>Tarte aux abricots</t>
  </si>
  <si>
    <t>Tarte aux fraises</t>
  </si>
  <si>
    <t>Tarte aux fruits et crème pâtissière</t>
  </si>
  <si>
    <t>Tarte aux fruits rouges</t>
  </si>
  <si>
    <t>Tarte aux légumes</t>
  </si>
  <si>
    <t>Tarte aux noix de Saint-Jacques</t>
  </si>
  <si>
    <t>Tarte aux poires amandine</t>
  </si>
  <si>
    <t>Tarte épinard chèvre</t>
  </si>
  <si>
    <t>Tarte normande aux pommes (garniture farine, œufs, crème, sucre, calvados)</t>
  </si>
  <si>
    <t>Tarte ou tartelette aux fruits</t>
  </si>
  <si>
    <t>Tarte ou tartelette aux pommes</t>
  </si>
  <si>
    <t>Tarte ou Tourte aux poireaux</t>
  </si>
  <si>
    <t>Tarte Tatin aux pommes</t>
  </si>
  <si>
    <t>Tartiflette</t>
  </si>
  <si>
    <t>Tartine craquante, extrudée et grillée</t>
  </si>
  <si>
    <t>Tartine craquante, extrudée et grillée, fourrée au chocolat</t>
  </si>
  <si>
    <t>Tartine craquante, extrudée et grillée, fourrée aux fruits</t>
  </si>
  <si>
    <t>Tempeh</t>
  </si>
  <si>
    <t>Terrine de canard</t>
  </si>
  <si>
    <t>Terrine de fruits de mer, avec ou sans poisson</t>
  </si>
  <si>
    <t>Terrine de lapin</t>
  </si>
  <si>
    <t>Terrine de poisson</t>
  </si>
  <si>
    <t>Terrine ou mousse de légumes</t>
  </si>
  <si>
    <t>Tétragone cornue, cuite</t>
  </si>
  <si>
    <t>Thé noir, infusé, non sucré</t>
  </si>
  <si>
    <t>Thé oolong, infusé, non sucré</t>
  </si>
  <si>
    <t>Thé vert, infusé, non sucré</t>
  </si>
  <si>
    <t>Thon à l'huile, appertisé, égoutté</t>
  </si>
  <si>
    <t>Thon albacore ou thon jaune, au naturel, appertisé, égoutté</t>
  </si>
  <si>
    <t>Thon albacore ou thon jaune, cru</t>
  </si>
  <si>
    <t>Thon germon ou thon blanc, à l'huile d'olive, appertisé, égoutté</t>
  </si>
  <si>
    <t>Thon germon ou thon blanc, cru</t>
  </si>
  <si>
    <t>Thon germon ou thon blanc, cuit à la vapeur sous pression</t>
  </si>
  <si>
    <t>Thon listao ou Bonite à ventre rayé, cru</t>
  </si>
  <si>
    <t>Thon, à la catalane ou à l'escabèche (sauce tomate), appertisé</t>
  </si>
  <si>
    <t>Thon, au naturel, appertisé, égoutté</t>
  </si>
  <si>
    <t>Thon, cru</t>
  </si>
  <si>
    <t>Thon, rôti/cuit au four</t>
  </si>
  <si>
    <t>Thym, frais</t>
  </si>
  <si>
    <t>Thym, séché</t>
  </si>
  <si>
    <t>Tielle sétoise</t>
  </si>
  <si>
    <t>Tiramisu, rayon frais</t>
  </si>
  <si>
    <t>Tisane infusée, non sucrée</t>
  </si>
  <si>
    <t>Toasts ou Canapés salés, garnitures diverses</t>
  </si>
  <si>
    <t>Tofu fumé, préemballé</t>
  </si>
  <si>
    <t>20912</t>
  </si>
  <si>
    <t>Tofu, nature</t>
  </si>
  <si>
    <t>Tomate à la provençale</t>
  </si>
  <si>
    <t>Tomate cerise, crue</t>
  </si>
  <si>
    <t>Tomate de saison, crue</t>
  </si>
  <si>
    <t>Tomate farcie</t>
  </si>
  <si>
    <t>Tomate hors saison, crue</t>
  </si>
  <si>
    <t>Tomate verte, crue</t>
  </si>
  <si>
    <t>Tomate, concentré, appertisé</t>
  </si>
  <si>
    <t>Tomate, coulis, appertisé (purée de tomates mi-réduite à 11%)</t>
  </si>
  <si>
    <t>Tomate, crue</t>
  </si>
  <si>
    <t>Tomate, double concentré, appertisé</t>
  </si>
  <si>
    <t>Tomate, pelée, appertisée, égouttée</t>
  </si>
  <si>
    <t>Tomate, pulpe et peau, bouillie/cuite à l'eau</t>
  </si>
  <si>
    <t>Tomate, pulpe et peau, rôtie/cuite au four</t>
  </si>
  <si>
    <t>Tomate, pulpe, appertisée</t>
  </si>
  <si>
    <t>Tomate, purée, appertisée</t>
  </si>
  <si>
    <t>Tomate, séchée</t>
  </si>
  <si>
    <t>Tomate, séchée, à l'huile</t>
  </si>
  <si>
    <t>Tome des Bauges</t>
  </si>
  <si>
    <t>Tomme ou tome de montagne ou de Savoie</t>
  </si>
  <si>
    <t>Tomme ou tome de vache</t>
  </si>
  <si>
    <t>Tomme ou tome, allégée en matière grasse, environ 13% MG</t>
  </si>
  <si>
    <t>Tonic ou bitter, non sucré, avec édulcorants</t>
  </si>
  <si>
    <t>Tonic ou bitter, sucré</t>
  </si>
  <si>
    <t>Tonic ou bitter, sucré, avec édulcorants</t>
  </si>
  <si>
    <t>Topinambour, cru</t>
  </si>
  <si>
    <t>Topinambour, cuit</t>
  </si>
  <si>
    <t>Tortilla espagnole aux oignons (omelette aux pommes de terre et oignons)</t>
  </si>
  <si>
    <t>Tortilla souple (à garnir), à base de blé</t>
  </si>
  <si>
    <t>Tortilla souple (à garnir), à base de maïs</t>
  </si>
  <si>
    <t>Tournesol, graine</t>
  </si>
  <si>
    <t>Tournesol, graine, grillé, salé</t>
  </si>
  <si>
    <t>Tourte au riesling</t>
  </si>
  <si>
    <t>Tripes à la mode de Caen</t>
  </si>
  <si>
    <t>Tripes à la mode de Caen, préemballées</t>
  </si>
  <si>
    <t>Tripes à la tomate ou à la provençale</t>
  </si>
  <si>
    <t>Tripes, boeuf, crues</t>
  </si>
  <si>
    <t>Truite arc en ciel, crue, élevage</t>
  </si>
  <si>
    <t>Truite arc en ciel, élevage, cuite à la vapeur</t>
  </si>
  <si>
    <t>Truite arc en ciel, élevage, rôtie/cuite au four</t>
  </si>
  <si>
    <t>Truite de mer, crue</t>
  </si>
  <si>
    <t>Truite d'élevage, crue</t>
  </si>
  <si>
    <t>Truite d'élevage, fumée</t>
  </si>
  <si>
    <t>Truite saumonée, crue</t>
  </si>
  <si>
    <t>Truite, cuite à la vapeur</t>
  </si>
  <si>
    <t>Truite, rôtie/cuite au four</t>
  </si>
  <si>
    <t>Turbot d'élevage, cru</t>
  </si>
  <si>
    <t>Turbot sauvage, cru</t>
  </si>
  <si>
    <t>Turbot, cru</t>
  </si>
  <si>
    <t>Turbot, rôti/cuit au four</t>
  </si>
  <si>
    <t>Valençay (fromage de chèvre)</t>
  </si>
  <si>
    <t>Vanille, extrait alcoolique</t>
  </si>
  <si>
    <t>Vanille, extrait aqueux</t>
  </si>
  <si>
    <t>Veau, carré, cru</t>
  </si>
  <si>
    <t>Veau, carré, sauté/poêlé</t>
  </si>
  <si>
    <t>Veau, collier, braisé ou bouilli</t>
  </si>
  <si>
    <t>Veau, collier, cru</t>
  </si>
  <si>
    <t>Veau, côte, crue</t>
  </si>
  <si>
    <t>Veau, côte, grillée/poêlée</t>
  </si>
  <si>
    <t>Veau, épaule, braisée ou bouillie</t>
  </si>
  <si>
    <t>Veau, épaule, crue</t>
  </si>
  <si>
    <t>Veau, épaule, grillée/poêlée</t>
  </si>
  <si>
    <t>Veau, escalope panée, cuite</t>
  </si>
  <si>
    <t>Veau, escalope, crue</t>
  </si>
  <si>
    <t>Veau, escalope, cuite</t>
  </si>
  <si>
    <t>Veau, filet, cru</t>
  </si>
  <si>
    <t>Veau, filet, rôti/cuit au four</t>
  </si>
  <si>
    <t>Veau, jarret, braisé ou bouilli</t>
  </si>
  <si>
    <t>Veau, jarret, cru</t>
  </si>
  <si>
    <t>Veau, noix, crue</t>
  </si>
  <si>
    <t>Veau, noix, grillée/poêlée</t>
  </si>
  <si>
    <t>Veau, noix, rôtie</t>
  </si>
  <si>
    <t>Veau, pied, cru</t>
  </si>
  <si>
    <t>Veau, poitrine, crue</t>
  </si>
  <si>
    <t>Veau, rôti, cru</t>
  </si>
  <si>
    <t>Veau, rôti, cuit</t>
  </si>
  <si>
    <t>Veau, steak haché 15% MG, cru</t>
  </si>
  <si>
    <t>Veau, steak haché 20% MG, cru</t>
  </si>
  <si>
    <t>Veau, tête, bouillie/cuite à l'eau</t>
  </si>
  <si>
    <t>Vermicelle de riz, cuite, non salée</t>
  </si>
  <si>
    <t>Vermicelle de riz, sèche</t>
  </si>
  <si>
    <t>Vin blanc mousseux</t>
  </si>
  <si>
    <t>Vin blanc mousseux aromatisé</t>
  </si>
  <si>
    <t>Vin blanc sec</t>
  </si>
  <si>
    <t>Vin doux</t>
  </si>
  <si>
    <t>Vin rosé</t>
  </si>
  <si>
    <t>Vin rouge</t>
  </si>
  <si>
    <t>Vinaigre</t>
  </si>
  <si>
    <t>Vinaigre balsamique</t>
  </si>
  <si>
    <t>Vinaigre de cidre</t>
  </si>
  <si>
    <t>Vivaneau, cru</t>
  </si>
  <si>
    <t>Vivaneau, cuit</t>
  </si>
  <si>
    <t>Vodka</t>
  </si>
  <si>
    <t>Volaille, croquette panée ou nuggets</t>
  </si>
  <si>
    <t>Wakamé (Undaria pinnatifida), séchée ou déshydratée</t>
  </si>
  <si>
    <t>Wakamé atlantique (Alaria esculenta), séchée ou déshydratée</t>
  </si>
  <si>
    <t>Whisky</t>
  </si>
  <si>
    <t>Wrap végétarien</t>
  </si>
  <si>
    <t>Yakitori (brochettes japonaises grillées en sauce)</t>
  </si>
  <si>
    <t>Yaourt à la grecque, au lait de brebis</t>
  </si>
  <si>
    <t>Yaourt à la grecque, nature</t>
  </si>
  <si>
    <t>Yaourt à la grecque, sur lit de fruits</t>
  </si>
  <si>
    <t>Yaourt au lait de chèvre, nature, 5% MG environ</t>
  </si>
  <si>
    <t>Yaourt, lait fermenté ou spécialité laitière, aromatisé, avec édulcorants, 0% MG</t>
  </si>
  <si>
    <t>Yaourt, lait fermenté ou spécialité laitière, aromatisé, sucré</t>
  </si>
  <si>
    <t>Yaourt, lait fermenté ou spécialité laitière, aromatisé, sucré, à la crème</t>
  </si>
  <si>
    <t>Yaourt, lait fermenté ou spécialité laitière, aux céréales</t>
  </si>
  <si>
    <t>Yaourt, lait fermenté ou spécialité laitière, aux céréales, 0% MG</t>
  </si>
  <si>
    <t>Yaourt, lait fermenté ou spécialité laitière, aux copeaux de chocolat, à la crème, sucré</t>
  </si>
  <si>
    <t>Yaourt, lait fermenté ou spécialité laitière, aux fruits, avec édulcorants, 0% MG</t>
  </si>
  <si>
    <t>Yaourt, lait fermenté ou spécialité laitière, aux fruits, avec édulcorants, 0% MG, enrichi en vitamine D</t>
  </si>
  <si>
    <t>Yaourt, lait fermenté ou spécialité laitière, aux fruits, sucré</t>
  </si>
  <si>
    <t>Yaourt, lait fermenté ou spécialité laitière, aux fruits, sucré, à la crème</t>
  </si>
  <si>
    <t>Yaourt, lait fermenté ou spécialité laitière, aux fruits, sucré, enrichi en vitamine D</t>
  </si>
  <si>
    <t>Yaourt, lait fermenté ou spécialité laitière, nature</t>
  </si>
  <si>
    <t>Yaourt, lait fermenté ou spécialité laitière, nature, 0% MG</t>
  </si>
  <si>
    <t>Yaourt, lait fermenté ou spécialité laitière, nature, à la crème</t>
  </si>
  <si>
    <t>Yaourt, lait fermenté ou spécialité laitière, nature, sucré</t>
  </si>
  <si>
    <t>oui</t>
  </si>
  <si>
    <t>non</t>
  </si>
  <si>
    <t>1) Informations génériques sur votre structure</t>
  </si>
  <si>
    <t>Nom de la structure</t>
  </si>
  <si>
    <r>
      <t xml:space="preserve">Surface chauffée de l'ensemble du/des sites </t>
    </r>
    <r>
      <rPr>
        <b/>
        <i/>
        <sz val="10"/>
        <color theme="1"/>
        <rFont val="Arial"/>
        <family val="2"/>
      </rPr>
      <t>(optionnel)</t>
    </r>
  </si>
  <si>
    <t>Détail</t>
  </si>
  <si>
    <t>Synthèse des émissions</t>
  </si>
  <si>
    <t>3) Climatisation</t>
  </si>
  <si>
    <t>Ce poste a pour but de quantifier les quantités de gaz fluoré rechargées dans un climatiseur. Ces gaz s'échappent dans l'atmosphère et ont un fort impact sur le réchauffement climatique.
Si elles ne sont pas suivies en interne, ces recharges peuvent être demandées au prestataire de maintenance des équipements. Ces informations peuvent également être retrouvées dans les fiches d’entretien fournies par ce même prestataire.</t>
  </si>
  <si>
    <t>Votre structure</t>
  </si>
  <si>
    <t xml:space="preserve">Elementaire </t>
  </si>
  <si>
    <t>Avancé</t>
  </si>
  <si>
    <t>TOTAL</t>
  </si>
  <si>
    <r>
      <t xml:space="preserve">Type d'équipement
</t>
    </r>
    <r>
      <rPr>
        <i/>
        <sz val="10"/>
        <color theme="1"/>
        <rFont val="Arial"/>
        <family val="2"/>
      </rPr>
      <t>(possédé ou en location)</t>
    </r>
  </si>
  <si>
    <t xml:space="preserve">Hypothèses : </t>
  </si>
  <si>
    <t>CO2 retiré pour le reconditionné
(modifiable)</t>
  </si>
  <si>
    <t>• Des durées d’amortissement standard sont proposées, s’appuyant sur des amortissements comptables. Elles sont comprises entre 3 et 5 ans, au-delà de cette durée l’équipement est considéré comme amorti du point de vue de son impact carbone. 
• Si vous avez certains équipements anciens (&gt; 5 ans) dont vous n’avez plus les factures, ils n’auront pas d’impact dans le bilan. Vous pouvez donc ne pas les inclure ou renseigner une date d’acquisition fictive correspondant à plus de 5 ans d’ancienneté.
• Si vous disposez de la durée de vie réelle du type d’équipement considéré, il est préférable d’ajuster la durée d’amortissement entrée par défaut (en orange dans le tableau de l’outil).</t>
  </si>
  <si>
    <r>
      <t xml:space="preserve">Type de document
</t>
    </r>
    <r>
      <rPr>
        <i/>
        <sz val="10"/>
        <color theme="1"/>
        <rFont val="Arial"/>
        <family val="2"/>
      </rPr>
      <t>(optionnel)</t>
    </r>
  </si>
  <si>
    <r>
      <t xml:space="preserve">Poids de la livraison (kg) 
</t>
    </r>
    <r>
      <rPr>
        <i/>
        <sz val="10"/>
        <color theme="1"/>
        <rFont val="Arial"/>
        <family val="2"/>
      </rPr>
      <t>par tournée</t>
    </r>
  </si>
  <si>
    <t>Liste 1</t>
  </si>
  <si>
    <t>Liste 2</t>
  </si>
  <si>
    <t>En location</t>
  </si>
  <si>
    <t>Flotte de véhicule</t>
  </si>
  <si>
    <t>Nombre total de repas dans l'année</t>
  </si>
  <si>
    <t>Part de nourriture locale (&lt;200km) sur l'ensemble des repas en %</t>
  </si>
  <si>
    <t>Repas Type</t>
  </si>
  <si>
    <r>
      <t xml:space="preserve">Contenance d'un bac (Litres)
</t>
    </r>
    <r>
      <rPr>
        <i/>
        <sz val="10"/>
        <color theme="1"/>
        <rFont val="Arial"/>
        <family val="2"/>
      </rPr>
      <t xml:space="preserve">nb. : 1 m3 = 1 000 </t>
    </r>
    <r>
      <rPr>
        <sz val="10"/>
        <color theme="1"/>
        <rFont val="Arial"/>
        <family val="2"/>
      </rPr>
      <t>L</t>
    </r>
  </si>
  <si>
    <t xml:space="preserve">Ce poste d’émission vise à calculer l’impact lié aux impressions papier (utilisation du papier et de l’encre).
Si cette donnée n’est pas disponible dans les paramètres des appareils, elle est très souvent estimée en fonction du nombre moyen d’impressions par personne ou par cartouche ou ramettes de papier consommées.
Généralement un mode d’impression « par défaut » est programmé sur chaque poste. Ainsi, si aucune information du type d’impression (recto verso ou recto uniquement), nous vous recommandons de choisir le critère programmé par défaut. </t>
  </si>
  <si>
    <r>
      <t xml:space="preserve">Durée moyenne par vue (mn)
</t>
    </r>
    <r>
      <rPr>
        <i/>
        <sz val="10"/>
        <color theme="1"/>
        <rFont val="Arial"/>
        <family val="2"/>
      </rPr>
      <t>Par défaut : 3 sec.soit 0,05 mn</t>
    </r>
  </si>
  <si>
    <t>Emissions tCO2e</t>
  </si>
  <si>
    <t>Alimentation</t>
  </si>
  <si>
    <t>Moyenne sandwich végés - Agribalyse - hypothèse : 300g par sandwich</t>
  </si>
  <si>
    <t>Moyenne sandwich carnés - Agribalyse  - hypothèse : 300g par sandwich</t>
  </si>
  <si>
    <t>Les données nécessaires pour calculer l’impact précis de ce poste sont généralement difficiles à obtenir. Ainsi, il a été retenu de partir d’une estimation « grosse maille » à partir du type de véhicule, de la distance parcourue et d’une consommation moyenne. 
Les distances peuvent être connues grâce à n’importe quel service de carte en ligne (openstreetmap, google maps …) et les types de véhicules estimés en fonction du type de matériel livré.
A noter, un onglet spécifique est dédié aux tournées artistiques et comprend le déplacement de matériel dans ce cadre.</t>
  </si>
  <si>
    <t>&gt; Tournées artistiques</t>
  </si>
  <si>
    <t>Poids du matériel (tonnes)</t>
  </si>
  <si>
    <r>
      <t xml:space="preserve">Nombre de km aller </t>
    </r>
    <r>
      <rPr>
        <i/>
        <sz val="9"/>
        <color theme="1"/>
        <rFont val="Arial"/>
        <family val="2"/>
      </rPr>
      <t>(du lieu d'origine au lieu de la première représentation)</t>
    </r>
  </si>
  <si>
    <r>
      <t xml:space="preserve">Nombre de km retour </t>
    </r>
    <r>
      <rPr>
        <i/>
        <sz val="9"/>
        <color theme="1"/>
        <rFont val="Arial"/>
        <family val="2"/>
      </rPr>
      <t>(du lieu de la dernière représentation au lieu d'origine)</t>
    </r>
  </si>
  <si>
    <t>Elementaire</t>
  </si>
  <si>
    <t>0) Pour bien commencer</t>
  </si>
  <si>
    <r>
      <t>-</t>
    </r>
    <r>
      <rPr>
        <b/>
        <sz val="10"/>
        <color theme="1"/>
        <rFont val="Arial"/>
        <family val="2"/>
      </rPr>
      <t xml:space="preserve"> Préfiguration de la mission</t>
    </r>
    <r>
      <rPr>
        <sz val="10"/>
        <color theme="1"/>
        <rFont val="Arial"/>
        <family val="2"/>
      </rPr>
      <t xml:space="preserve"> : choix du référent, objectif poursuivi, calendrier souhaité
- </t>
    </r>
    <r>
      <rPr>
        <b/>
        <sz val="10"/>
        <color theme="1"/>
        <rFont val="Arial"/>
        <family val="2"/>
      </rPr>
      <t>Cadrage de la mission</t>
    </r>
    <r>
      <rPr>
        <sz val="10"/>
        <color theme="1"/>
        <rFont val="Arial"/>
        <family val="2"/>
      </rPr>
      <t xml:space="preserve"> :</t>
    </r>
  </si>
  <si>
    <r>
      <t xml:space="preserve">- </t>
    </r>
    <r>
      <rPr>
        <b/>
        <sz val="10"/>
        <color theme="1"/>
        <rFont val="Arial"/>
        <family val="2"/>
      </rPr>
      <t>Collecte des données</t>
    </r>
    <r>
      <rPr>
        <sz val="10"/>
        <color theme="1"/>
        <rFont val="Arial"/>
        <family val="2"/>
      </rPr>
      <t xml:space="preserve"> : </t>
    </r>
  </si>
  <si>
    <r>
      <t xml:space="preserve">- </t>
    </r>
    <r>
      <rPr>
        <b/>
        <sz val="10"/>
        <color theme="1"/>
        <rFont val="Arial"/>
        <family val="2"/>
      </rPr>
      <t>Intégration des données dans l’outil</t>
    </r>
    <r>
      <rPr>
        <sz val="10"/>
        <color theme="1"/>
        <rFont val="Arial"/>
        <family val="2"/>
      </rPr>
      <t xml:space="preserve">
- </t>
    </r>
    <r>
      <rPr>
        <b/>
        <sz val="10"/>
        <color theme="1"/>
        <rFont val="Arial"/>
        <family val="2"/>
      </rPr>
      <t>Analyse des résultats</t>
    </r>
  </si>
  <si>
    <t>Mes notes</t>
  </si>
  <si>
    <t>N'hésitez pas à préciser toutes ces informations de collecte et de cadrage dans l'espace dédié de chaque onglet !</t>
  </si>
  <si>
    <t>Tableau de synthèse des émissions &amp; indicateurs</t>
  </si>
  <si>
    <t>Bière ou cidre</t>
  </si>
  <si>
    <t>Alcools forts</t>
  </si>
  <si>
    <t>Moyenne alcool fort</t>
  </si>
  <si>
    <t>Lait</t>
  </si>
  <si>
    <t>Agribalyse - Lait demi-écrémé, UHT</t>
  </si>
  <si>
    <t>Tartinables</t>
  </si>
  <si>
    <t>Sauces</t>
  </si>
  <si>
    <t>Moyenne guacamole, tapenade, houmous</t>
  </si>
  <si>
    <r>
      <t>Si véhicules affrétés spécifiquement pour le déplacement (</t>
    </r>
    <r>
      <rPr>
        <b/>
        <sz val="10"/>
        <color theme="1"/>
        <rFont val="Arial"/>
        <family val="2"/>
      </rPr>
      <t>voiture, bus, moto, vélo, …</t>
    </r>
    <r>
      <rPr>
        <sz val="10"/>
        <color theme="1"/>
        <rFont val="Arial"/>
        <family val="2"/>
      </rPr>
      <t>) : combien de véhicules</t>
    </r>
    <r>
      <rPr>
        <b/>
        <sz val="10"/>
        <color theme="1"/>
        <rFont val="Arial"/>
        <family val="2"/>
      </rPr>
      <t xml:space="preserve"> </t>
    </r>
    <r>
      <rPr>
        <sz val="10"/>
        <color theme="1"/>
        <rFont val="Arial"/>
        <family val="2"/>
      </rPr>
      <t>font ce trajet ?</t>
    </r>
  </si>
  <si>
    <r>
      <t>Pour les autres modes de transports partagés avec des tiers (</t>
    </r>
    <r>
      <rPr>
        <b/>
        <sz val="10"/>
        <color theme="1"/>
        <rFont val="Arial"/>
        <family val="2"/>
      </rPr>
      <t>train, avion, …</t>
    </r>
    <r>
      <rPr>
        <sz val="10"/>
        <color theme="1"/>
        <rFont val="Arial"/>
        <family val="2"/>
      </rPr>
      <t xml:space="preserve">) : combien de </t>
    </r>
    <r>
      <rPr>
        <b/>
        <sz val="10"/>
        <color theme="1"/>
        <rFont val="Arial"/>
        <family val="2"/>
      </rPr>
      <t>personnes</t>
    </r>
    <r>
      <rPr>
        <sz val="10"/>
        <color theme="1"/>
        <rFont val="Arial"/>
        <family val="2"/>
      </rPr>
      <t xml:space="preserve"> à voyager par ce mode ?</t>
    </r>
  </si>
  <si>
    <t>Déchets bac jaune (carton/papier, métal et plastique)</t>
  </si>
  <si>
    <t>Estimatif d'après la base carbone et les données du Rapport annuel 2022 sur le prix et la qualité du service public de prévention et gestion des déchets ménagers et assimilés (grandlyon.com)</t>
  </si>
  <si>
    <t>Moyenne pondérée des densités</t>
  </si>
  <si>
    <t>Imprimantes à cartouches</t>
  </si>
  <si>
    <t xml:space="preserve">Liste TC </t>
  </si>
  <si>
    <t xml:space="preserve">Artiste/ Equipe artistique/ Spectacle /Compagnie </t>
  </si>
  <si>
    <t>Montant de la prestation (k€)</t>
  </si>
  <si>
    <t>Catégorie</t>
  </si>
  <si>
    <t>Partitions</t>
  </si>
  <si>
    <t>Impression papier (en interne)</t>
  </si>
  <si>
    <t>2) Consommations d'énergie et d'eau</t>
  </si>
  <si>
    <t>Type d'ouvrage</t>
  </si>
  <si>
    <t>Nom du bâtiment</t>
  </si>
  <si>
    <t>Surface (m²)</t>
  </si>
  <si>
    <t>Montants dépenses (€)</t>
  </si>
  <si>
    <t>Option 2</t>
  </si>
  <si>
    <t>Option 1</t>
  </si>
  <si>
    <t>Mobilier</t>
  </si>
  <si>
    <t>Equipements scéniques</t>
  </si>
  <si>
    <t>Montants dépensés (€)</t>
  </si>
  <si>
    <t>Bâtiments</t>
  </si>
  <si>
    <t>Déplacements de prestations</t>
  </si>
  <si>
    <t>Equipements</t>
  </si>
  <si>
    <t>Bâtiments, travaux et agencements</t>
  </si>
  <si>
    <t>Impression et communication papier</t>
  </si>
  <si>
    <t>Achats librairie / partition</t>
  </si>
  <si>
    <t>Autres achats</t>
  </si>
  <si>
    <t>Déplacements professionnels</t>
  </si>
  <si>
    <t xml:space="preserve"> </t>
  </si>
  <si>
    <t>Transport de matériel et d'œuvres</t>
  </si>
  <si>
    <t>Consommation d'énergie et d'eau</t>
  </si>
  <si>
    <t>Travaux et agencements</t>
  </si>
  <si>
    <t>Décors</t>
  </si>
  <si>
    <t>4) Bâtiments, travaux et agencements</t>
  </si>
  <si>
    <t>5) Déchets</t>
  </si>
  <si>
    <t>9) Déplacements des visiteurs</t>
  </si>
  <si>
    <t>16) Achats monétaires</t>
  </si>
  <si>
    <t>17) Transport de matériel artistique et d'œuvres</t>
  </si>
  <si>
    <t>18) Impressions et communication papier</t>
  </si>
  <si>
    <t>19) Communication digitale</t>
  </si>
  <si>
    <t>20) Billetterie</t>
  </si>
  <si>
    <t>15) Alimentation</t>
  </si>
  <si>
    <t>Part des émissions (%)</t>
  </si>
  <si>
    <t>kgCO2e/L ou kWh</t>
  </si>
  <si>
    <t>t.km</t>
  </si>
  <si>
    <t>kgCO2/repas (équipe)</t>
  </si>
  <si>
    <t>Poids (tonne)</t>
  </si>
  <si>
    <t>kgCO2e/billet imprimé</t>
  </si>
  <si>
    <t>kgCO2e/K€ (travaux)</t>
  </si>
  <si>
    <t>X</t>
  </si>
  <si>
    <t xml:space="preserve">Ce poste d’émissions vise à estimer l’impact relatif aux consommations d’énergie des sites, quelle que soit sa source, ainsi que l’impact lié à la consommation d’eau potable.
Ces informations sont généralement suivies par les services gestionnaires ou par le propriétaire. Cependant, si ce n’est pas le cas, ces informations sont disponibles dans les factures ou directement auprès des fournisseurs d’énergie ou d’eau potable. </t>
  </si>
  <si>
    <t>Précision</t>
  </si>
  <si>
    <t>Si nécessaire</t>
  </si>
  <si>
    <t>Personnes référentes :</t>
  </si>
  <si>
    <t>Sources de données :</t>
  </si>
  <si>
    <t>Commentaires :</t>
  </si>
  <si>
    <t>Option 3</t>
  </si>
  <si>
    <t>Achats - librairie/partition</t>
  </si>
  <si>
    <t>Remplissage moyen par bac (%)</t>
  </si>
  <si>
    <t>Consommation 
(litres ou kWh)</t>
  </si>
  <si>
    <t>ENERGIE</t>
  </si>
  <si>
    <t>EAU</t>
  </si>
  <si>
    <t>FROID</t>
  </si>
  <si>
    <t>VEHICULE</t>
  </si>
  <si>
    <t>CARBURANT</t>
  </si>
  <si>
    <t>TRANSPORT</t>
  </si>
  <si>
    <t>DECHET</t>
  </si>
  <si>
    <t>INFORMATIQUE</t>
  </si>
  <si>
    <t>EMBALLAGE</t>
  </si>
  <si>
    <t>DECHETS</t>
  </si>
  <si>
    <t>PAPIER</t>
  </si>
  <si>
    <t>IMPRESSION</t>
  </si>
  <si>
    <t>FRET</t>
  </si>
  <si>
    <t>NUMERIQUE</t>
  </si>
  <si>
    <t>LIBRAIRIE</t>
  </si>
  <si>
    <t>kgCO2e/livre</t>
  </si>
  <si>
    <t>Livre moyen (300g)</t>
  </si>
  <si>
    <t>Édition (livres, journaux, revues, etc.)</t>
  </si>
  <si>
    <t>Etablissement d'enseignement/santé (m²)</t>
  </si>
  <si>
    <t>Construction</t>
  </si>
  <si>
    <t>Bâtiments / Travaux</t>
  </si>
  <si>
    <t>Meubles et autres biens</t>
  </si>
  <si>
    <t>BATIMENTS</t>
  </si>
  <si>
    <t>DECORS</t>
  </si>
  <si>
    <t>AUTRES ACHATS</t>
  </si>
  <si>
    <t>Abonnement et documentation / Ressources numériques</t>
  </si>
  <si>
    <t>Achats de partition</t>
  </si>
  <si>
    <t>Assurances / Prévoyance</t>
  </si>
  <si>
    <t>Communication</t>
  </si>
  <si>
    <t>Consommables / matériel audio</t>
  </si>
  <si>
    <t xml:space="preserve">Fabrications scénographiques </t>
  </si>
  <si>
    <t>Formation</t>
  </si>
  <si>
    <t>Fournitures et petits équipements</t>
  </si>
  <si>
    <t>Location de matériel</t>
  </si>
  <si>
    <t>Logiciel</t>
  </si>
  <si>
    <t>Maintenance informatique</t>
  </si>
  <si>
    <t>Prestations de services : nettoyage / accueil / sécurité / maintenance / soins médicaux / informatiques / médiation / démontage / intérim</t>
  </si>
  <si>
    <t xml:space="preserve">Prestations intellectuelles </t>
  </si>
  <si>
    <t>Produits dérivés / Cadeaux pourboires dons</t>
  </si>
  <si>
    <t>Routage</t>
  </si>
  <si>
    <t>Assurance, services bancaires, conseil et honoraires</t>
  </si>
  <si>
    <t>Meubles et autres biens manufacturés</t>
  </si>
  <si>
    <t>Maintenance multitechnique</t>
  </si>
  <si>
    <t>Action sociale</t>
  </si>
  <si>
    <t>Courrier</t>
  </si>
  <si>
    <t>Activités des organisations associatives</t>
  </si>
  <si>
    <t>Activités pour la santé humaine</t>
  </si>
  <si>
    <t>Activités sportives, récréatives et de loisirs</t>
  </si>
  <si>
    <t>Bois et article en bois</t>
  </si>
  <si>
    <t>Entreposage et services auxiliaires des transports</t>
  </si>
  <si>
    <t>Films, enregistrement sonores, télévision et radio</t>
  </si>
  <si>
    <t>Hébergement et restauration</t>
  </si>
  <si>
    <t>Métaux (aluminium, cuivre, acier, etc.)</t>
  </si>
  <si>
    <t>Papier et carton</t>
  </si>
  <si>
    <t>Plastiques et caoutchouc</t>
  </si>
  <si>
    <t>Produit minéraux (ciment, verre, etc.)</t>
  </si>
  <si>
    <t>Produits chimiques</t>
  </si>
  <si>
    <t>Produits informatiques, électroniques et optiques</t>
  </si>
  <si>
    <t>Produits métalliques, sauf machines et équipements</t>
  </si>
  <si>
    <t>Produits pharmaceutiques</t>
  </si>
  <si>
    <t>Télécommunications</t>
  </si>
  <si>
    <t>Textile et habillement</t>
  </si>
  <si>
    <t>EQUIPEMENTS</t>
  </si>
  <si>
    <t>Instruments de musiques</t>
  </si>
  <si>
    <t xml:space="preserve">Matériel photo / vidéo / son / info / scénique </t>
  </si>
  <si>
    <t>Activités créatives, artistiques, culturelles, bibliothèques, et organisation de jeux de hasard et d</t>
  </si>
  <si>
    <t>Administration publiques et défense, sécurité sociale obligatoire</t>
  </si>
  <si>
    <t>Type de mobilier</t>
  </si>
  <si>
    <t>Type d'instrument</t>
  </si>
  <si>
    <t>Type d'équipement scénique</t>
  </si>
  <si>
    <t>Matériaux principal</t>
  </si>
  <si>
    <t>Nom du prestataire</t>
  </si>
  <si>
    <t>Type de prestation</t>
  </si>
  <si>
    <t>Poids unitaire estimé (g)</t>
  </si>
  <si>
    <t>Acier ou fer blanc (neuf)</t>
  </si>
  <si>
    <t>Acier ou fer blanc (recyclé)</t>
  </si>
  <si>
    <t>Aluminium (neuf)</t>
  </si>
  <si>
    <t>Aluminium (recyclé)</t>
  </si>
  <si>
    <t>Aluminium, produit en France (neuf)</t>
  </si>
  <si>
    <t>Cuivre (neuf)</t>
  </si>
  <si>
    <t>Cuivre (recyclé)</t>
  </si>
  <si>
    <t>Nickel (neuf)</t>
  </si>
  <si>
    <t>Nickel (recyclé)</t>
  </si>
  <si>
    <t>Plomb (neuf)</t>
  </si>
  <si>
    <t>Plomb (recyclé)</t>
  </si>
  <si>
    <t>Zinc (neuf)</t>
  </si>
  <si>
    <t>Zinc (recyclé)</t>
  </si>
  <si>
    <t>Fibre de verre (neuf)</t>
  </si>
  <si>
    <t>Fibre de verre (recyclé)</t>
  </si>
  <si>
    <t>Verre (neuf)</t>
  </si>
  <si>
    <t>Verre (recyclé)</t>
  </si>
  <si>
    <t>Plastique (moyenne) (neuf)</t>
  </si>
  <si>
    <t>Plastique (moyenne) (recyclé)</t>
  </si>
  <si>
    <t>Carton (neuf)</t>
  </si>
  <si>
    <t>Carton (recyclé)</t>
  </si>
  <si>
    <t>Mobilier (fabrication)</t>
  </si>
  <si>
    <t>Matériaux inconnus</t>
  </si>
  <si>
    <t>Livre - poids</t>
  </si>
  <si>
    <t>Feuille de papier A4 - poids</t>
  </si>
  <si>
    <t>2,29 kgCO2e/ramette de 80g &gt; 2,29/80 = 0,0286
1 feuille A4 = 5g &gt; 0,0286 * 5 = 1,14 kgCO2e/feuille A4</t>
  </si>
  <si>
    <t>kgCO2e/feuille A4</t>
  </si>
  <si>
    <t>kgCO2e/kg feuille A4</t>
  </si>
  <si>
    <t>Papier</t>
  </si>
  <si>
    <t>Labo 1.5</t>
  </si>
  <si>
    <t>Fournisseurs</t>
  </si>
  <si>
    <t>Doc : logic. standards d'acces aux contenus et ressources document.</t>
  </si>
  <si>
    <t>Documentation : partitions musicales</t>
  </si>
  <si>
    <t>Assurances couverture sante / mutuelle</t>
  </si>
  <si>
    <t>Services de conseils juridiques</t>
  </si>
  <si>
    <t>Comm : services de conseil et d'accompagnement de campagnes de communication</t>
  </si>
  <si>
    <t>Petits equipements et consommables pour l'electronique</t>
  </si>
  <si>
    <t xml:space="preserve">Communication : achat d'espaces publicitaires </t>
  </si>
  <si>
    <t>Autres formations d'accompagnement</t>
  </si>
  <si>
    <t>Petites fournitures et petits equipements de bureau (hors informatique)</t>
  </si>
  <si>
    <t>Droits d'utilisation de logiciels standards de bureautique</t>
  </si>
  <si>
    <t>Communication : cadeaux</t>
  </si>
  <si>
    <t>Services de distribution et routage</t>
  </si>
  <si>
    <t>Cocher les postes que vous souhaitez compléter</t>
  </si>
  <si>
    <t>Unité (nbre de feuilles)</t>
  </si>
  <si>
    <t>Unité (nbre d'ouvrages)</t>
  </si>
  <si>
    <t>Poste sélectionné pour le bilan carbone</t>
  </si>
  <si>
    <t>Période de référence</t>
  </si>
  <si>
    <t>// CDI, CDD</t>
  </si>
  <si>
    <t>Nombre d'ETP (Équivalent temps plein)</t>
  </si>
  <si>
    <r>
      <t>Budget/chiffre d'affaire de l'année de reporting</t>
    </r>
    <r>
      <rPr>
        <b/>
        <i/>
        <sz val="10"/>
        <color theme="1"/>
        <rFont val="Arial"/>
        <family val="2"/>
      </rPr>
      <t xml:space="preserve"> (optionnel)</t>
    </r>
  </si>
  <si>
    <t>Type de décors</t>
  </si>
  <si>
    <t>Ville-pays de destination</t>
  </si>
  <si>
    <t>Ville-pays d'origine</t>
  </si>
  <si>
    <t>Référent.e</t>
  </si>
  <si>
    <t>&gt; Veuillez sélectionner dans les menus déroulants (en orange), les postes pris en compte ou non</t>
  </si>
  <si>
    <t>Fréquentation (nbre visiteurs) :</t>
  </si>
  <si>
    <t>Facteurs d'émission</t>
  </si>
  <si>
    <r>
      <t>Ici, vous allez retrouver les facteurs d'émission utilisés dans le calcul des émissions carbones.
Pour rappel, pour calculer des émissions de GES : donnée utile (ex : € dépensés) X facteur d'émission (kgCO2e) = émissions de GES (kgCO2e)
Des facteurs d'émission sont mis-à-jour régulièrement par l'ADEME sur la base empreinte (</t>
    </r>
    <r>
      <rPr>
        <i/>
        <u/>
        <sz val="11"/>
        <color theme="4"/>
        <rFont val="Arial Nova Light"/>
        <family val="2"/>
      </rPr>
      <t>https://base-empreinte.ademe.fr/</t>
    </r>
    <r>
      <rPr>
        <sz val="11"/>
        <color theme="1"/>
        <rFont val="Arial Nova Light"/>
        <family val="2"/>
      </rPr>
      <t xml:space="preserve">). 
</t>
    </r>
    <r>
      <rPr>
        <i/>
        <sz val="11"/>
        <color theme="1"/>
        <rFont val="Arial Nova Light"/>
        <family val="2"/>
      </rPr>
      <t xml:space="preserve">Exemple de facteurs d'émission mis-à-jour annuellement : énergie (électricité, gaz...), transports (TER, TGV...)
</t>
    </r>
    <r>
      <rPr>
        <sz val="11"/>
        <color theme="1"/>
        <rFont val="Arial Nova Light"/>
        <family val="2"/>
      </rPr>
      <t>Pour cela, vous devez : 
1) Créer un compte
2) Aller dans "Consulter les données"
3) Rechercer les données à mettre-à-jour
4) Copier-coller la valeur en kgCO2e dans les cellules de cette feuille</t>
    </r>
  </si>
  <si>
    <t xml:space="preserve">Base carbone : Electricité - 2023 - mix moyen – consommation </t>
  </si>
  <si>
    <t>Base carbone : Gaz naturel - 2022 - mix moyen - consommation</t>
  </si>
  <si>
    <t>Archivé sur la base carbone et le chiffre ne correspond pas</t>
  </si>
  <si>
    <t>Chiffre plus récent sur la base carbone</t>
  </si>
  <si>
    <t>Base carbone : Electricité/2023 - usage : Transports/consommation (Méthode moyenne)</t>
  </si>
  <si>
    <t>Base carbone : Réseau de chaleur/69, Vaulx-en-Velin, V3E - Base carbone : Réseau Grand Ile/2021</t>
  </si>
  <si>
    <t>Base carbone : Réseau de chaleur/69, Champagne-au-Mont-d'Or, Quartier La Duchère et Lyon 9e/2021</t>
  </si>
  <si>
    <t>Base carbone : Réseau de chaleur/69, LYON, Base carbone : Réseau de Lyon/2021</t>
  </si>
  <si>
    <t>Base carbone : Réseau de chaleur/69, RILLIEUX-LA-PAPE, RILLIEUX-LA-PAPE/2021</t>
  </si>
  <si>
    <t>Base carbone : Réseau de chaleur/69, Venissieux, Vénissieux énergies/2021</t>
  </si>
  <si>
    <t>Espace publicitaire</t>
  </si>
  <si>
    <t>Conseil juridique</t>
  </si>
  <si>
    <t>Machines et équipements</t>
  </si>
  <si>
    <t>Matériel de transport</t>
  </si>
  <si>
    <t>Produit agro-alimentaires transformés</t>
  </si>
  <si>
    <t>Produits agricoles et de la mer</t>
  </si>
  <si>
    <t>Recherche et développement</t>
  </si>
  <si>
    <t>Réparation et installation de machines et d'équipements</t>
  </si>
  <si>
    <t>Transport aérien</t>
  </si>
  <si>
    <t>Transport fluvial et maritime</t>
  </si>
  <si>
    <t>Transport terrestre</t>
  </si>
  <si>
    <t>Consommables bureautiques</t>
  </si>
  <si>
    <t>Audit et conseil</t>
  </si>
  <si>
    <t>Diffusion de la communication</t>
  </si>
  <si>
    <t>Communication : diffusion et promotion de documents sur tous supports</t>
  </si>
  <si>
    <t>Instruments de musique et accessoires</t>
  </si>
  <si>
    <t>Maintenance des instruments de musique</t>
  </si>
  <si>
    <t>Reparation et maintece des instruments de musique</t>
  </si>
  <si>
    <t>Autres travaux d'amenagement des batiments</t>
  </si>
  <si>
    <t>Materiel photographique</t>
  </si>
  <si>
    <t>Appareils professionnels de recept., enreg. ou reprod. du son (broadcast)</t>
  </si>
  <si>
    <t>Matériel photo</t>
  </si>
  <si>
    <t>Matériel son</t>
  </si>
  <si>
    <t>Culture : conception-realisation-installation de decors</t>
  </si>
  <si>
    <t>DOUBLE COMPTE</t>
  </si>
  <si>
    <t>Déplacements des artistes</t>
  </si>
  <si>
    <t>Achats librairie / partition // Communication</t>
  </si>
  <si>
    <t>Déplacements // Transport</t>
  </si>
  <si>
    <t>Communication papier // Digital</t>
  </si>
  <si>
    <t>Rappel</t>
  </si>
  <si>
    <t>Catégories d'achats proposées dans cet onglet</t>
  </si>
  <si>
    <t>Onglet dans lesquels la donnée est potentiellement déjà indiquée</t>
  </si>
  <si>
    <t>Services (imprimerie, publicité, architecture et ingénierie, maintenance multi-technique des bâtiments)</t>
  </si>
  <si>
    <t>Documentation : livres non scolaires imprimes</t>
  </si>
  <si>
    <t>Livre / Partition</t>
  </si>
  <si>
    <t>FE Partition est à 190 kgCO2e/k€, on prend le plus haut des 2 FE</t>
  </si>
  <si>
    <t>Services d'impression et de reprographie</t>
  </si>
  <si>
    <t>6) Déplacements liés à des prestations</t>
  </si>
  <si>
    <t>Déplacements liés à des prestations</t>
  </si>
  <si>
    <t>Emissions Totales</t>
  </si>
  <si>
    <t>2 roues électriques (vélo, trottinette, moto)</t>
  </si>
  <si>
    <t xml:space="preserve">Base carbone : Trottinette électrique </t>
  </si>
  <si>
    <t>2 roues thermiques (moto, scooter)</t>
  </si>
  <si>
    <t>Avion international</t>
  </si>
  <si>
    <t>Avion national</t>
  </si>
  <si>
    <t>Bus - transport de ville</t>
  </si>
  <si>
    <t>Base carbone : Autobus/Gazole</t>
  </si>
  <si>
    <t>Car - transport régional</t>
  </si>
  <si>
    <t>Base carbone :Autobus moyen/Agglomération de plus de 250 000 habitants</t>
  </si>
  <si>
    <t>Covoiturage 2 personnes</t>
  </si>
  <si>
    <t>Base carbone : Voiture moyenne/Mixte/2018 - Hypothèse : 1,6 passager (ADEME)</t>
  </si>
  <si>
    <t>Covoiturage 3 personnes</t>
  </si>
  <si>
    <t>Covoiturage 4 personnes</t>
  </si>
  <si>
    <t>Covoiturage 5 personnes</t>
  </si>
  <si>
    <t>Métro, tramway</t>
  </si>
  <si>
    <t>Base carbone : Métro, tramway, trolleybus/2018/Agglomération &gt; à 250 000 habitants</t>
  </si>
  <si>
    <t>Mobilité douce (marche, vélo)</t>
  </si>
  <si>
    <t>Base carbone : TER/2022/Traction moyenne</t>
  </si>
  <si>
    <t>Voiture électrique</t>
  </si>
  <si>
    <t>Base Empreinte :  Voiture particulière/Coeur de gamme - Véhicule compact/Electrique</t>
  </si>
  <si>
    <t>Voiture hybride</t>
  </si>
  <si>
    <t>Base Empreinte :  Voiture particulière/Coeur de gamme - Véhicule compact/Hybride, full, P2</t>
  </si>
  <si>
    <t xml:space="preserve">Voiture motorisation moyenne </t>
  </si>
  <si>
    <t>Voiture thermique</t>
  </si>
  <si>
    <t>Matériaux principaux</t>
  </si>
  <si>
    <t>nombre de visiteurs / spectateurs</t>
  </si>
  <si>
    <t>Nombre de personnes faisant ces trajets</t>
  </si>
  <si>
    <t>Equipements scéniques (lumière, son, vidéos, …)</t>
  </si>
  <si>
    <t>Instruments de musique</t>
  </si>
  <si>
    <t>Focaccia</t>
  </si>
  <si>
    <t>Taboulé au poulet</t>
  </si>
  <si>
    <t>Salade de chou ou Coleslaw</t>
  </si>
  <si>
    <t>Salade César</t>
  </si>
  <si>
    <t>Croissant</t>
  </si>
  <si>
    <t>Pain au chocolat</t>
  </si>
  <si>
    <t>Bonbons</t>
  </si>
  <si>
    <t xml:space="preserve">Gaufre moelleuse </t>
  </si>
  <si>
    <t xml:space="preserve">Glace en batonnnet </t>
  </si>
  <si>
    <t>Restauration des publics</t>
  </si>
  <si>
    <t>Informations : 
Densité moyenne par type de déchets (kg/litre)</t>
  </si>
  <si>
    <t>Impression papier sur site ou à domicile</t>
  </si>
  <si>
    <t>Livraison - billet papier</t>
  </si>
  <si>
    <t>Nombre de cartes</t>
  </si>
  <si>
    <t>Matière utilisée</t>
  </si>
  <si>
    <t>MATIERE</t>
  </si>
  <si>
    <t>BILLETTERIE</t>
  </si>
  <si>
    <t>DOCUMENT PAPIER</t>
  </si>
  <si>
    <t>Etiquettes papier imprimé</t>
  </si>
  <si>
    <t>Carton / recyclé</t>
  </si>
  <si>
    <t>Carton / neuf</t>
  </si>
  <si>
    <t>Plastique / PVC / neuf</t>
  </si>
  <si>
    <t>Plastique / moyenne / neuf</t>
  </si>
  <si>
    <t>Plastique / PVC / recyclé</t>
  </si>
  <si>
    <t xml:space="preserve">Papier - Moyen </t>
  </si>
  <si>
    <t>Poids unitaire d'une carte 
(kg)</t>
  </si>
  <si>
    <t xml:space="preserve">Création de cartes d'abonnement </t>
  </si>
  <si>
    <t>Pour éviter les doubles comptes, voici les correspondances entre les catégories présentes de le tableau ci-dessus et les autres onglets de l'outil</t>
  </si>
  <si>
    <r>
      <rPr>
        <b/>
        <sz val="10"/>
        <color rgb="FF000000"/>
        <rFont val="Arial"/>
        <family val="2"/>
      </rPr>
      <t xml:space="preserve">Votre structure </t>
    </r>
    <r>
      <rPr>
        <sz val="10"/>
        <color rgb="FF000000"/>
        <rFont val="Arial"/>
        <family val="2"/>
      </rPr>
      <t xml:space="preserve">: pour votre suivi, vous pouvez cocher les onglets que vous avez finalement choisis. </t>
    </r>
  </si>
  <si>
    <t>INSTURMENTS DE MUSIQUES</t>
  </si>
  <si>
    <t xml:space="preserve">Bois massif résineux (forêt gérée durablement) </t>
  </si>
  <si>
    <t xml:space="preserve"> Bois d'oeuvre de résineux, 1 pouce d'épaisseur, sylviculture durable, 1kg, RER </t>
  </si>
  <si>
    <t xml:space="preserve">HDF (forêt non gérée durablement) </t>
  </si>
  <si>
    <t xml:space="preserve"> Panneau de fibres à haute densité (HDF), sylviculture non durable, 1kg, RER </t>
  </si>
  <si>
    <t xml:space="preserve">Bois massif feuillus (forêt gérée durablement) </t>
  </si>
  <si>
    <t xml:space="preserve"> Bois d'oeuvre de feuillus, 1 pouce d'épaisseur, sylviculture durable, 1kg, RER </t>
  </si>
  <si>
    <t xml:space="preserve">Contreplaqué (forêt gérée durablement) </t>
  </si>
  <si>
    <t xml:space="preserve"> Contreplaqué, sylviculture durable, 1kg, RER </t>
  </si>
  <si>
    <t xml:space="preserve">MDF (forêt gérée durablement) </t>
  </si>
  <si>
    <t xml:space="preserve">MDF enduit (forêt gérée durablement) </t>
  </si>
  <si>
    <t xml:space="preserve"> Panneau de fibres à moyenne densité (MDF), enduit, sylviculture durable, 1kg, RER </t>
  </si>
  <si>
    <t xml:space="preserve">Bois massif résineux (forêt non gérée durablement) </t>
  </si>
  <si>
    <t xml:space="preserve"> Bois d'oeuvre de résineux, 1 pouce d'épaisseur, sylviculture non durable, 1kg, RER </t>
  </si>
  <si>
    <t xml:space="preserve">Contreplaqué (forêt non gérée durablement) </t>
  </si>
  <si>
    <t xml:space="preserve"> Contreplaqué, sylviculture non durable, 1kg, RER </t>
  </si>
  <si>
    <t xml:space="preserve">HDF (forêt gérée durablement) </t>
  </si>
  <si>
    <t xml:space="preserve"> Panneau de fibres à haute densité (HDF), sylviculture durable, 1kg, RER </t>
  </si>
  <si>
    <t xml:space="preserve">Bois massif feuillus (forêt non gérée durablement) </t>
  </si>
  <si>
    <t xml:space="preserve"> Bois d'oeuvre de feuillus, 1 pouce d'épaisseur, sylviculture non durable, 1kg, RER </t>
  </si>
  <si>
    <t>MDF (forêt non gérée durablement)</t>
  </si>
  <si>
    <t xml:space="preserve">Panneau de fibres à moyenne densité (MDF), sylviculture non durable, 1kg, RER </t>
  </si>
  <si>
    <t xml:space="preserve">MDF enduit (forêt non gérée durablement) </t>
  </si>
  <si>
    <t xml:space="preserve">Panneau de fibres à moyenne densité (MDF), enduit, sylviculture non durable, 1kg, RER </t>
  </si>
  <si>
    <t xml:space="preserve">Panneau de fibres à moyenne densité (MDF), sylviculture durable, 1kg, RER </t>
  </si>
  <si>
    <t>Bois courte durée de vie (ameublement...)/fabrication</t>
  </si>
  <si>
    <t>Bois d'oeuvre de feuillus, 1kg, non spécifié</t>
  </si>
  <si>
    <t>Bois courte durée de vie</t>
  </si>
  <si>
    <t>Bois d'oeuvre de feuillus</t>
  </si>
  <si>
    <t>Bois massif feuillus moyenne</t>
  </si>
  <si>
    <t>Bois massif résineux moyenne</t>
  </si>
  <si>
    <t>Contreplaqué moyenne</t>
  </si>
  <si>
    <t>HDF moyenne</t>
  </si>
  <si>
    <t>MDF enduit moyenne</t>
  </si>
  <si>
    <t>MDF moyenne</t>
  </si>
  <si>
    <t xml:space="preserve">moyenne </t>
  </si>
  <si>
    <t>Nylon</t>
  </si>
  <si>
    <t>Date d'acquisition (aaaa)</t>
  </si>
  <si>
    <t>// entrer l'année sous ce format : aaaa</t>
  </si>
  <si>
    <t xml:space="preserve">Consoles de jeux </t>
  </si>
  <si>
    <t>https://www.arcep.fr/uploads/tx_gspublication/etude-numerique-environnement-ademe-arcep-volet02_janv2022.pdf</t>
  </si>
  <si>
    <t>Unité centrale (sans écran)</t>
  </si>
  <si>
    <t>Smartphones</t>
  </si>
  <si>
    <t>Base carbone : Imprimante/jet d'encre</t>
  </si>
  <si>
    <t>Imprimantes laser</t>
  </si>
  <si>
    <t>Appareil photo</t>
  </si>
  <si>
    <t>Photocopieurs</t>
  </si>
  <si>
    <t>Ecrans d'ordinateurs</t>
  </si>
  <si>
    <t>Ecran publicitaire</t>
  </si>
  <si>
    <t>base carbone : Ecran publicitaire/2m²</t>
  </si>
  <si>
    <t>Télévision</t>
  </si>
  <si>
    <t>Base carbone : Télévision/49 pouces</t>
  </si>
  <si>
    <t>Base carbone : Moyenne reflex, hybride, compact</t>
  </si>
  <si>
    <t>Autres types d'équipements non présents dans la liste proposés</t>
  </si>
  <si>
    <t>Montants dépensés</t>
  </si>
  <si>
    <t>Durée d'amortissement moyenne</t>
  </si>
  <si>
    <t>ans</t>
  </si>
  <si>
    <t>Type de matière</t>
  </si>
  <si>
    <t>Puce RFID</t>
  </si>
  <si>
    <t xml:space="preserve">Ce poste concerne les achats de consommables liés aux documents papier.
Il s'agit des dépenses pour des protections plastiques des ouvrages, des étiquettes, et des puces RFID. 
</t>
  </si>
  <si>
    <t>COSTUMES</t>
  </si>
  <si>
    <t>Base Carbone</t>
  </si>
  <si>
    <t>Dentelle</t>
  </si>
  <si>
    <t xml:space="preserve">Plastique - Latex </t>
  </si>
  <si>
    <t>Base Ecoinvent</t>
  </si>
  <si>
    <t>Plastique - Nylon</t>
  </si>
  <si>
    <t>Plastique - Polyéthylène</t>
  </si>
  <si>
    <t>Tissu - Cuir</t>
  </si>
  <si>
    <t>Tissu - Fibre d'acrylique</t>
  </si>
  <si>
    <t>Tissu - Fibre de polyamide</t>
  </si>
  <si>
    <t>Tissu - Fibre de polyester</t>
  </si>
  <si>
    <t>Tissu - Fibre de polyester recyclé</t>
  </si>
  <si>
    <t>Tissu - Fibre de polyéthylène</t>
  </si>
  <si>
    <t>Tissu - Fibre de viscose</t>
  </si>
  <si>
    <t>Tissu - Fibre synthétique</t>
  </si>
  <si>
    <t>Tissu - Fil d'angora</t>
  </si>
  <si>
    <t>Tissu - Fil de cachemire</t>
  </si>
  <si>
    <t>Tissu - Fil de chanvre</t>
  </si>
  <si>
    <t>Tissu - Fil de coton</t>
  </si>
  <si>
    <t>Tissu - Fil de jute</t>
  </si>
  <si>
    <t>Tissu - Fil de laine de mouton</t>
  </si>
  <si>
    <t>Tissu - Fil de lin</t>
  </si>
  <si>
    <t>Tissu - Laine conventionnelle</t>
  </si>
  <si>
    <t>Tissu - Similli cuir</t>
  </si>
  <si>
    <t>Moyenne de FE dela base carbone : Tissu enduit polyuréthane (PU) et Tissu enduit polychlorure de vinyle (PVC)</t>
  </si>
  <si>
    <t>Tissu - Soie</t>
  </si>
  <si>
    <t xml:space="preserve">Le Bilan Carbone est une estimation des émissions de gaz à effet de serre émises sur une année par les activités de l'organisation, directement et indirectement. Dans un Bilan Carbone, sont étudiés différents postes d'émissions, représentés ici par les différents onglets. 
Il permet d'identifier les principaux postes d'émissions pour engager une démarche de réduction.
Ce qui compte ce n'est pas le résultat exact mais l'ordre de grandeur qui va nous permettre d'agir. </t>
  </si>
  <si>
    <t xml:space="preserve">Il est aussi important de rappeler que le Bilan Carbone n'est pas un Bilan des responsabilités, mais bien un Bilan des dépendances. Il permettra de prendre conscience de sa vulnérabilité énergétique et climatique. </t>
  </si>
  <si>
    <t>Hébergements des salariés</t>
  </si>
  <si>
    <t>HEBERGEMENT</t>
  </si>
  <si>
    <t>Nuitées</t>
  </si>
  <si>
    <t>kgCO2e/nuits</t>
  </si>
  <si>
    <t>Impact CO2e Outils</t>
  </si>
  <si>
    <t>Nuit au camping</t>
  </si>
  <si>
    <t>Nuit dans une location saisonnière</t>
  </si>
  <si>
    <t xml:space="preserve">Nuit dans un hôtel sans classement : </t>
  </si>
  <si>
    <t>Nuit dans un hôtel 2*</t>
  </si>
  <si>
    <t>Nuit dans un hôtel 3*</t>
  </si>
  <si>
    <t>Nuit dans un hôtel 4*</t>
  </si>
  <si>
    <t>Nuit dans un hôtel 5*</t>
  </si>
  <si>
    <t>Publication ADEME 2020 - rapport final de pré-déploiement de l'affichage environnemental des hôtels</t>
  </si>
  <si>
    <t>Ce poste concerne les achats monétaires. Vous pouvez indiquer ici tous les achats en montants dépensés qui n'ont pas été inclus dans les autres onglets.
- Ne pas inclure les achats déjà intégrés dans les autres onglets : alimentation, consommation d'énergie et d'eau, décors, ouvrages, partition, mobiliers, frais de gestion des déchets, frais de déplacements professionnels (intégrés à partir des distances) et les hébergements, impression, équipements ou location de matériel informatiques, scéniques, instruments
- Ne pas inclure les achats suivants (hors périmètre) : impôts et taxes, salaires, loyers des bâtiments, dotations aux amortissements et provisions ou autres charges</t>
  </si>
  <si>
    <t>Alimentation / Tournées artistiques / Artistes invité.e.s</t>
  </si>
  <si>
    <t xml:space="preserve">Nombre de personnes concernées par l'hébergement </t>
  </si>
  <si>
    <t>Nombre de nuitées</t>
  </si>
  <si>
    <t>Type de nuitées</t>
  </si>
  <si>
    <t>Emissions liées à l'hébergement
tCO2e</t>
  </si>
  <si>
    <t>Montants dépensés pour les hébergements
(k€)</t>
  </si>
  <si>
    <t>Déplacements des artistes et équipes invitées</t>
  </si>
  <si>
    <t>Hébergements des artistes et équipes invitées</t>
  </si>
  <si>
    <t>Equipe permanente ou Equipe intermittente</t>
  </si>
  <si>
    <t>Equipe permanente</t>
  </si>
  <si>
    <t>Equipe intermittente</t>
  </si>
  <si>
    <t xml:space="preserve">Nombre </t>
  </si>
  <si>
    <t>Poids moyen à l'unité (en tonnes)</t>
  </si>
  <si>
    <t xml:space="preserve">Autre véhicule </t>
  </si>
  <si>
    <t xml:space="preserve"> kgCO2e/unité</t>
  </si>
  <si>
    <t xml:space="preserve">Base Carbone </t>
  </si>
  <si>
    <t>Durées d'amortissement - Trottinette / Vélo - par défaut
(modifiable)</t>
  </si>
  <si>
    <t>Durées d'amortissement - Autre véhicule - par défaut
(modifiable)</t>
  </si>
  <si>
    <t>Année d'aquisition (aaaa)</t>
  </si>
  <si>
    <t>12) Equipements (mobiliers, flotte, informatiques, scéniques, instruments de musique)</t>
  </si>
  <si>
    <t>TRANSPORT sans fabrication</t>
  </si>
  <si>
    <t xml:space="preserve">7) Déplacements professionnels </t>
  </si>
  <si>
    <t>Véhicule faisant partie de votre flotte de véhicule ? (Oui / Non)*</t>
  </si>
  <si>
    <t>*Ici, si vous indiquer 'oui', il vous faut remplir les informations liées à ce véhicule dans l'onglet 12_Equipements</t>
  </si>
  <si>
    <t>Mails reçus</t>
  </si>
  <si>
    <t>Nombre de mails reçus</t>
  </si>
  <si>
    <t>Nombre de mails envoyés</t>
  </si>
  <si>
    <t>Mails envoyés</t>
  </si>
  <si>
    <t>Impact consommation serveurs</t>
  </si>
  <si>
    <t>kgCO2e/ko</t>
  </si>
  <si>
    <t>Impact consommation réseaux</t>
  </si>
  <si>
    <t>Référentiel SRI</t>
  </si>
  <si>
    <t>Quantité de données stockées
(Ko)</t>
  </si>
  <si>
    <t>14) Décors et costumes</t>
  </si>
  <si>
    <t>Costumes</t>
  </si>
  <si>
    <t>Type de costumes</t>
  </si>
  <si>
    <r>
      <t xml:space="preserve">Ce poste concerne les achats liés aux décors (pour des spectacles, des expositions ou tout autre évènement). Dans ces équipements sont considérés les équipements possédés et les équipements loués.
Deux options sont possibles : 
- Option 1 : inscrire le type de matériaux ou sélectionner "Matériaux inconnus" et indiquer le poids
- Option 2 : intégrer les montants dépensés (€)
</t>
    </r>
    <r>
      <rPr>
        <sz val="10"/>
        <color rgb="FFFF0000"/>
        <rFont val="Arial"/>
        <family val="2"/>
      </rPr>
      <t>! ATTENTION, ne remplir qu'une seule option par ligne !</t>
    </r>
  </si>
  <si>
    <t>Matière principale</t>
  </si>
  <si>
    <t>Broderie (en m2)</t>
  </si>
  <si>
    <r>
      <t xml:space="preserve">Ce poste concerne les achats liés aux costumes. 
Deux options sont possibles : 
- Option 1 : inscrire le type de matières principales et indiquer le poids en tonne. Hormis pour la dentelle, la donnée est à inscrire en m²
- Option 2 : intégrer les montants dépensés (€)
</t>
    </r>
    <r>
      <rPr>
        <sz val="10"/>
        <color rgb="FFFF0000"/>
        <rFont val="Arial"/>
        <family val="2"/>
      </rPr>
      <t>! ATTENTION, ne remplir qu'une seule option par ligne !</t>
    </r>
  </si>
  <si>
    <t>Fabrications de costumes</t>
  </si>
  <si>
    <t>Culture : conception-realisation de costumes</t>
  </si>
  <si>
    <t>Achats de representations artistiques</t>
  </si>
  <si>
    <t>Culture : achats de representations artistiques</t>
  </si>
  <si>
    <t>Réalisation d'œuvres et objets d'art</t>
  </si>
  <si>
    <t>Culture : realisation d'oeuvres et objets d'art</t>
  </si>
  <si>
    <t>Services d'animation et médiation culturelle</t>
  </si>
  <si>
    <t>Culture : services de mediation culturelle</t>
  </si>
  <si>
    <t>Inventaire de CDs et DVDs</t>
  </si>
  <si>
    <t>Type de matériel</t>
  </si>
  <si>
    <t>Catégorie de CD / DVD</t>
  </si>
  <si>
    <t>EQUIPEMENT</t>
  </si>
  <si>
    <t>CV DVD</t>
  </si>
  <si>
    <t>cds simple</t>
  </si>
  <si>
    <t>cds doubles</t>
  </si>
  <si>
    <t>cds triples</t>
  </si>
  <si>
    <t>dvd simple</t>
  </si>
  <si>
    <t>dvd double</t>
  </si>
  <si>
    <t>dvd triple</t>
  </si>
  <si>
    <t>DVD seul</t>
  </si>
  <si>
    <t>Case de DVD</t>
  </si>
  <si>
    <t>https://iopscience.iop.org/article/10.1088/1748-9326/9/5/054007/pdf</t>
  </si>
  <si>
    <t>18 g</t>
  </si>
  <si>
    <t>85 g</t>
  </si>
  <si>
    <t>Multiplier par 2 le facteur d'un dvd simple</t>
  </si>
  <si>
    <t>Multiplier par 3 le facteur d'un dvd simple</t>
  </si>
  <si>
    <t>5 DVDs en moyenne</t>
  </si>
  <si>
    <t>Impact égal au DVD double</t>
  </si>
  <si>
    <t>Impact égal au DVD triple</t>
  </si>
  <si>
    <t>5 CDs en moyenne</t>
  </si>
  <si>
    <t>Egal au DVD simple</t>
  </si>
  <si>
    <t>coffret de plus de 3 CD</t>
  </si>
  <si>
    <t>dvd coffret</t>
  </si>
  <si>
    <t>MOBILER</t>
  </si>
  <si>
    <t>Type de meubles</t>
  </si>
  <si>
    <t>Armoire / représentative</t>
  </si>
  <si>
    <t>Canapé / convertible</t>
  </si>
  <si>
    <t>Canapé / cuir</t>
  </si>
  <si>
    <t>Canapé / textile</t>
  </si>
  <si>
    <t>Chaise / bois</t>
  </si>
  <si>
    <t>Chaise / bois textile</t>
  </si>
  <si>
    <t>Chaise / plastique</t>
  </si>
  <si>
    <t>Matelas / mousse</t>
  </si>
  <si>
    <t>Table / bois massif</t>
  </si>
  <si>
    <t>Table / représentative</t>
  </si>
  <si>
    <t>Unité (nbre de pochette)</t>
  </si>
  <si>
    <t>Base Ecoinvent - Inductor - miniature radio frequency chip (inductor production - miniature radio frequency chip)</t>
  </si>
  <si>
    <t>Hypothèse, la puce pèse 0,3 g</t>
  </si>
  <si>
    <t>PLASTIQUE</t>
  </si>
  <si>
    <t>ETIQUETTE</t>
  </si>
  <si>
    <t>Tonnage d'étiquettes (kilogramme)</t>
  </si>
  <si>
    <t>PUCE RFID</t>
  </si>
  <si>
    <t>Nombre de puces</t>
  </si>
  <si>
    <t xml:space="preserve">Option 2 </t>
  </si>
  <si>
    <r>
      <t>Seulement si les kilomètres indiqués dans la colonne H sont</t>
    </r>
    <r>
      <rPr>
        <b/>
        <u/>
        <sz val="10"/>
        <color theme="9"/>
        <rFont val="Arial"/>
        <family val="2"/>
      </rPr>
      <t xml:space="preserve"> les kilomètres unitaires du voyage </t>
    </r>
    <r>
      <rPr>
        <b/>
        <sz val="10"/>
        <color theme="1"/>
        <rFont val="Arial"/>
        <family val="2"/>
      </rPr>
      <t xml:space="preserve">
Et seulement une des deux cases à remplir à chaque ligne</t>
    </r>
  </si>
  <si>
    <t>Option 2 / Obligatoire</t>
  </si>
  <si>
    <t>Nom de la tournée</t>
  </si>
  <si>
    <t>FE Amont + Combustion</t>
  </si>
  <si>
    <t>FE Fabrication</t>
  </si>
  <si>
    <t>FE TOTAL</t>
  </si>
  <si>
    <t>10) Tournées artistiques (déplacements et hébergements)</t>
  </si>
  <si>
    <t>Grande catégorie</t>
  </si>
  <si>
    <t>2 roues électriques</t>
  </si>
  <si>
    <t>Covoiturage</t>
  </si>
  <si>
    <t xml:space="preserve">Trains </t>
  </si>
  <si>
    <t>8) Déplacements domicile-travail des salariés</t>
  </si>
  <si>
    <t>Mobilité douce</t>
  </si>
  <si>
    <t>Inventaire de CD et DVD</t>
  </si>
  <si>
    <t>Catégorie d'équipements</t>
  </si>
  <si>
    <t>Documents papiers (ouvrages, livres, périodiques, …)</t>
  </si>
  <si>
    <t>Matériels liés aux documents papiers</t>
  </si>
  <si>
    <t>Achats - Documents papiers</t>
  </si>
  <si>
    <t>L’onglet détaille l’ensemble des données relatives aux bâtiments et aux travaux effectués (travaux et dépenses importantes, qui sont considérés en comptabilité comme des investissements et des achats amortis sur plusieurs années)</t>
  </si>
  <si>
    <t>Nous intégrons ici l'impact de la fabrication des bâtiments. Il faut indiquer ici vos bâtiments / espaces  loués et vos bâtiments / espaces possédés. 
L'inventaire à prendre en compte est le parc de bâtiments en cours d'amortissement, la durée d'amortissement standard a été fixée à 50 ans.  
Elle peut être modifiée. Si vous considérez que des bâtiments ont été construits il y a plus de 50 ans, vous pouvez ne pas les prendre en compte dans le tableau ci-dessous.
Cette méthode consiste à estimer les émissions liées à la construction du bâtiment à partir de la surface du bâtiment en m².</t>
  </si>
  <si>
    <t>L'impact des prestations peut se simplifier en modélisant l'impact des déplacements liés à ces prestations. Les prestations à considérer regroupent la maintenance des équipements, les prestations d'accueil, de sécurité, informatique ou encore de nettoyage...
Deux options s'offrent à vous : 
- Option 1 : Pour ce faire, vous pouvez envoyer un questionnaire auprès des prestataires indiquant : le lieu de départ des personnes (code postal accepté), le mode de transport utilisé, la nature de la prestation et le nombre d'intervention au cours de l'année
- Option 2 : Indiquer les montants dépensés par prestataire et prestation sur l'année de reporting</t>
  </si>
  <si>
    <t>BD</t>
  </si>
  <si>
    <t>Documentaires</t>
  </si>
  <si>
    <t>Jeunesse</t>
  </si>
  <si>
    <t>Roman (non poche)</t>
  </si>
  <si>
    <t>Roman (poche)</t>
  </si>
  <si>
    <t>Magazine moyen</t>
  </si>
  <si>
    <t xml:space="preserve">Quotidien </t>
  </si>
  <si>
    <t>Hebdomadaire</t>
  </si>
  <si>
    <t>Mensuel et plus</t>
  </si>
  <si>
    <t>100 pages</t>
  </si>
  <si>
    <t>365 magazines</t>
  </si>
  <si>
    <t>52 magazines</t>
  </si>
  <si>
    <t>12 magazine</t>
  </si>
  <si>
    <t>Ratio au poids</t>
  </si>
  <si>
    <t>Base SRI</t>
  </si>
  <si>
    <t>Ratio aux nombres de magazines</t>
  </si>
  <si>
    <t>grammes</t>
  </si>
  <si>
    <t>kgCO2e/an</t>
  </si>
  <si>
    <t>Catégorie de documents</t>
  </si>
  <si>
    <t xml:space="preserve">L’onglet détaille l’ensemble des données relatives aux décors et aux costumes : 
- Décors
- Costumes </t>
  </si>
  <si>
    <r>
      <t>La réalisation de ce bilan demande une organisation en mode projet, avec l’identification d’un</t>
    </r>
    <r>
      <rPr>
        <b/>
        <sz val="11"/>
        <color theme="4"/>
        <rFont val="Arial"/>
        <family val="2"/>
      </rPr>
      <t xml:space="preserve"> pilote référent</t>
    </r>
    <r>
      <rPr>
        <sz val="10"/>
        <color theme="1"/>
        <rFont val="Arial"/>
        <family val="2"/>
      </rPr>
      <t>, d’un</t>
    </r>
    <r>
      <rPr>
        <b/>
        <sz val="11"/>
        <color theme="4"/>
        <rFont val="Arial"/>
        <family val="2"/>
      </rPr>
      <t xml:space="preserve"> réseau de personnes ressources</t>
    </r>
    <r>
      <rPr>
        <sz val="10"/>
        <color theme="1"/>
        <rFont val="Arial"/>
        <family val="2"/>
      </rPr>
      <t xml:space="preserve"> auprès de qui collecter la donnée, et d'un calendrier de réalisation. 
Ce calendrier peut s’étaler sur </t>
    </r>
    <r>
      <rPr>
        <b/>
        <sz val="11"/>
        <color theme="4"/>
        <rFont val="Arial"/>
        <family val="2"/>
      </rPr>
      <t>4 à 6 mois</t>
    </r>
    <r>
      <rPr>
        <sz val="10"/>
        <color theme="1"/>
        <rFont val="Arial"/>
        <family val="2"/>
      </rPr>
      <t>, en fonction de la disponibilité des données et personnes ressources. Il peut, par exemple prendre la forme suivante :</t>
    </r>
  </si>
  <si>
    <r>
      <t>- Si vous</t>
    </r>
    <r>
      <rPr>
        <b/>
        <sz val="10"/>
        <rFont val="Arial"/>
        <family val="2"/>
      </rPr>
      <t xml:space="preserve"> souhaitez mettre à jour votre Bilan Carbone</t>
    </r>
    <r>
      <rPr>
        <sz val="10"/>
        <rFont val="Arial"/>
        <family val="2"/>
      </rPr>
      <t xml:space="preserve">, vous serez amenés à mettre à jour les facteurs d'émission utilisés pour quelques postes d'émission (certains sont mis à jour régulièrement par l'ADEME). Dans ce cas, vous pouvez aller à l'onglet "BDD FE" de ce classeur (il est masqué, il faut l'afficher en cliquant droit sur le nom d'un onglet). Les facteurs d'émissions sont mis à jour sur la base ADEME : https://base-empreinte.ademe.fr/donnees/jeu-donnees, l'inscription est gratuite. Ces facteurs d'émissions sont mis à jour de manière très ponctuelle. </t>
    </r>
  </si>
  <si>
    <t>*Ici, si vous indiquez 'oui', il vous faut remplir les informations liées à ce véhicule dans l'onglet 12_Equipements</t>
  </si>
  <si>
    <r>
      <t xml:space="preserve">L’onglet détaille l’ensemble des données d’émissions relatives aux déplacements des artistes et équipes invités. L’onglet s’organise en 2 tableaux : 
</t>
    </r>
    <r>
      <rPr>
        <b/>
        <sz val="10"/>
        <color theme="1"/>
        <rFont val="Arial"/>
        <family val="2"/>
      </rPr>
      <t>Déplacement des artistes et équipes invitées</t>
    </r>
    <r>
      <rPr>
        <sz val="10"/>
        <color theme="1"/>
        <rFont val="Arial"/>
        <family val="2"/>
      </rPr>
      <t xml:space="preserve">
        Ce tableau reprend les différentes étapes d’un trajet pouvant être réalisé par un.e artiste / équipe artistique. L’objectif est d’allouer à la structure seulement une partie des émissions de CO2e du trajet si ce dernier s’effectue dans la cadre d’une tournée : les encadrés 1 et 2 permettent de modéliser l'impact des trajets entrant et sortant de la structure, l'encadré 3 permet de répartir les émissions dans la cadre d'une tournée internationale (entendre ici, les émissions très impactantes du premier et dernier trajet de la tournée qui seront répartis entre les différentes structures de la tournée). Lorsqu'une équipe artistique ou une compagnie vient avec plusieurs voitures sur le lieu du spectacle, il faut remplir une ligne pour chaque voiture. Le taux d'occupation est donné à titre indicatif. Par exemple, si une compagnie vient avec 1 voiture de 3 personnes et une autre voiture de 4 personnes, il faut remplir deux lignes différentes.  
</t>
    </r>
    <r>
      <rPr>
        <b/>
        <sz val="10"/>
        <color theme="1"/>
        <rFont val="Arial"/>
        <family val="2"/>
      </rPr>
      <t>Hébergements des artistes et équipes invitées</t>
    </r>
    <r>
      <rPr>
        <sz val="10"/>
        <color theme="1"/>
        <rFont val="Arial"/>
        <family val="2"/>
      </rPr>
      <t xml:space="preserve">
        Ce tableau est adapté les hébergements effectués par les artistes, qu'ils soient payé par votre structure ou par les artistes eux-mêmes. 
</t>
    </r>
  </si>
  <si>
    <r>
      <t xml:space="preserve">Ce poste d’émission inclus 3 sous-ensembles :
- l’impact lié à la </t>
    </r>
    <r>
      <rPr>
        <b/>
        <sz val="10"/>
        <color theme="4"/>
        <rFont val="Arial"/>
        <family val="2"/>
      </rPr>
      <t>conception</t>
    </r>
    <r>
      <rPr>
        <sz val="10"/>
        <color theme="1"/>
        <rFont val="Arial"/>
        <family val="2"/>
      </rPr>
      <t xml:space="preserve"> du document : généralement sous-traité à des imprimeries, il a été choisi d’estimer ce poste à partir du coût de la prestation : les données relatives aux prestations de conception doivent être disponibles auprès du service achat, ou sur vos factures.
- la </t>
    </r>
    <r>
      <rPr>
        <b/>
        <sz val="10"/>
        <color theme="4"/>
        <rFont val="Arial"/>
        <family val="2"/>
      </rPr>
      <t>livraison</t>
    </r>
    <r>
      <rPr>
        <sz val="10"/>
        <color theme="1"/>
        <rFont val="Arial"/>
        <family val="2"/>
      </rPr>
      <t xml:space="preserve"> des documents produits de l’imprimerie au site : les données relatives à la livraison peuvent être estimées à partir de la distance structure-imprimeur et d’un type de véhicule utilisé.
- la </t>
    </r>
    <r>
      <rPr>
        <b/>
        <sz val="10"/>
        <color theme="4"/>
        <rFont val="Arial"/>
        <family val="2"/>
      </rPr>
      <t>distribution</t>
    </r>
    <r>
      <rPr>
        <sz val="10"/>
        <color theme="1"/>
        <rFont val="Arial"/>
        <family val="2"/>
      </rPr>
      <t xml:space="preserve"> des documents du site à ses destinataire : les données relatives à la distribution ne concernent que les documents distribués par des prestataires (hors véhicules de services dont les émissions ont été considérées plus haut).
Il a été décidé ici de ne pas comptabiliser les envois réalisés avec La Poste. En effet, ils présenteraient une incertitude trop importante puisqu’il nous est impossible de connaitre le mode le transport utilisé par la poste (camionnette essence, diesel, électrique, scooter électrique, vélo, avion…) avec des impacts carbone très différents.</t>
    </r>
  </si>
  <si>
    <t xml:space="preserve">Dans ce poste, il a été choisi d’estimer l’impact numérique lié à l’utilisation du site internet, aux vidéos, audio et streaming, à l'utilisation des réseaux sociaux, et à l'impact des mails.
Ces données peuvent être recherchées auprès de votre service informatique, marketing, ou de synthèse d’activité générées par les réseaux sociaux. Sinon, vous pouvez également procéder à partir d’hypothèses.
Quelques cas particuliers pour les réseaux sociaux : 
- La durée moyenne par vue de chaque post est généralement complexe à avoir, ainsi, par défaut, nous vous proposons de prendre 3 secondes.
- Si vous ne disposez pas du poids moyen de chaque post, il est possible d’opter pour une moyenne ou de différencier les posts par typologie avec un poids moyen : texte, texte et image, lien, vidéo…
Plus généralement, si vous disposez du poids une fois la donnée en ligne compressée, il est à privilégier, mais la donnée à la source peut également être utilisée en seconde main.
Pour les mails, si vous ne disposez pas de la donnée exacte, vous pouvez partir d’une estimation, par salarié ou par jour. Afin de cibler la collecte, vous pouvez comptabiliser en premier lieu les envois à de larges listes de diffusion (newsletter, mailing de satisfaction, listes d’inscriptions …). </t>
  </si>
  <si>
    <r>
      <t xml:space="preserve">Site internet - </t>
    </r>
    <r>
      <rPr>
        <sz val="10"/>
        <color theme="0"/>
        <rFont val="Arial"/>
        <family val="2"/>
      </rPr>
      <t>! Ne remplir qu'une ligne par site internet !</t>
    </r>
  </si>
  <si>
    <t>Trains grandes lignes, TGV</t>
  </si>
  <si>
    <r>
      <rPr>
        <b/>
        <sz val="10"/>
        <color rgb="FF000000"/>
        <rFont val="Arial"/>
        <family val="2"/>
      </rPr>
      <t xml:space="preserve">Parcours élémentaire </t>
    </r>
    <r>
      <rPr>
        <sz val="10"/>
        <color rgb="FF000000"/>
        <rFont val="Arial"/>
        <family val="2"/>
      </rPr>
      <t xml:space="preserve">: ce niveau vise à avoir une première vision des impacts de votre structure </t>
    </r>
  </si>
  <si>
    <r>
      <t xml:space="preserve">Précision </t>
    </r>
    <r>
      <rPr>
        <i/>
        <sz val="10"/>
        <color theme="1"/>
        <rFont val="Arial"/>
        <family val="2"/>
      </rPr>
      <t>(si nécessaire)</t>
    </r>
  </si>
  <si>
    <t>Base carbone : Intercités - 2022</t>
  </si>
  <si>
    <t>Base carbone : Voiture - Motorisation moyenne - 2018</t>
  </si>
  <si>
    <t>Base carbone : Voiture - Motorisation Essence - 2018</t>
  </si>
  <si>
    <t>2 roues électriques (vélo, trottinette)</t>
  </si>
  <si>
    <t>11) Déplacements des artistes et équipes invitées, et hébergements</t>
  </si>
  <si>
    <t>(D38*D39*D41*'BDD FE Alim'!L45+D38*(1-D39)*D41*'BDD FE Alim'!K45)*10^-3</t>
  </si>
  <si>
    <t>Base Carbone  - filé de fibres d'acrylique</t>
  </si>
  <si>
    <t>Base Carbone - filé de fibres de polyamide 66</t>
  </si>
  <si>
    <t>Base Carbone - filé de fibres de polyester</t>
  </si>
  <si>
    <t>Base Carbone - production de filament de polyester recyclé</t>
  </si>
  <si>
    <t>Base Carbone - filé de fivres de polyéthylène</t>
  </si>
  <si>
    <t>Base Carbone - filé de fibres de viscose</t>
  </si>
  <si>
    <t>Base Carbone - fil d'angora</t>
  </si>
  <si>
    <t>Base Carbone - fil de cachemire</t>
  </si>
  <si>
    <t>Base Carbone - fil de chanvre</t>
  </si>
  <si>
    <t>Base Carbone - fil de coton conventionnel</t>
  </si>
  <si>
    <t>Base Carbone - fil de jute</t>
  </si>
  <si>
    <t>Base Carbone - fil de laine de mouton</t>
  </si>
  <si>
    <t>Base Carbone - fil de lin (filasse)</t>
  </si>
  <si>
    <t>Base Carbone - fil de soie</t>
  </si>
  <si>
    <t>Base Carbone - laine conventionnelle, moyenne nationale</t>
  </si>
  <si>
    <t>Base Carbone - moyenne des fibres synthétiques</t>
  </si>
  <si>
    <t>Base Carbone - somme des procédés de traitement du cuir (Base IMPACT - PRG AR4)</t>
  </si>
  <si>
    <t>Navette fluviale</t>
  </si>
  <si>
    <t>Base carbone : navette fluviale de tourisme</t>
  </si>
  <si>
    <t xml:space="preserve">Instrument </t>
  </si>
  <si>
    <t>Laiton</t>
  </si>
  <si>
    <t>Maillechort</t>
  </si>
  <si>
    <t>60% de cuivre, 20% de nickel et 20% de zinc</t>
  </si>
  <si>
    <t xml:space="preserve">Instruments de musique </t>
  </si>
  <si>
    <t>Emissions</t>
  </si>
  <si>
    <t>Accordéon</t>
  </si>
  <si>
    <t>kgCO2/unité</t>
  </si>
  <si>
    <t xml:space="preserve">Batterie </t>
  </si>
  <si>
    <t>50% de bois feuillus et 50% laiton</t>
  </si>
  <si>
    <t xml:space="preserve">Clarinette  </t>
  </si>
  <si>
    <t xml:space="preserve">Clavecin </t>
  </si>
  <si>
    <t xml:space="preserve">Contrebasse </t>
  </si>
  <si>
    <t>Cor d'harmonie</t>
  </si>
  <si>
    <t>Flute traversière</t>
  </si>
  <si>
    <t>Guitare</t>
  </si>
  <si>
    <t>Harpe</t>
  </si>
  <si>
    <t>Orgue</t>
  </si>
  <si>
    <t>Piano droit</t>
  </si>
  <si>
    <t>Saxophone</t>
  </si>
  <si>
    <t>Trombone</t>
  </si>
  <si>
    <t xml:space="preserve">Trompette </t>
  </si>
  <si>
    <t>Tuba</t>
  </si>
  <si>
    <t xml:space="preserve">Violon </t>
  </si>
  <si>
    <t>Violoncelle</t>
  </si>
  <si>
    <t>Xylophone</t>
  </si>
  <si>
    <t>50% de bois et 50% d'acier</t>
  </si>
  <si>
    <t>Piano à queue</t>
  </si>
  <si>
    <r>
      <t xml:space="preserve">Ce poste d’émissions vise à calculer l’impact lié aux équipements scéniques. Dans ces équipements sont considérés les équipements possédés et les équipements loués (de longue durée).
Ces informations sont généralement disponibles auprès du service achats lorsque vous en possédez un, sinon, grâce aux factures d’achat. 
Deux options sont possibles : 
- Option 1 : inscrire le type de matériaux ou sélectionner "Matériaux inconnus" et indiquer le poids
- Option 2 : intégrer les montants dépensés (€)
</t>
    </r>
    <r>
      <rPr>
        <sz val="10"/>
        <color rgb="FFFF0000"/>
        <rFont val="Arial"/>
        <family val="2"/>
      </rPr>
      <t>! ATTENTION, ne remplir qu'une seule option par ligne !</t>
    </r>
  </si>
  <si>
    <r>
      <t xml:space="preserve">Ce poste d’émissions vise à calculer l’impact lié aux instruments de musique. Dans ces instruments sont considérés les instruments possédés et les instrument loués (de longue durée).
Ces informations sont généralement disponibles auprès du service achats lorsque vous en possédez un, sinon, grâce aux factures d’achat. 
Trois options sont possibles : 
- Option 1 : inscrire le type de matériaux ou sélectionner "Matériaux inconnus" et indiquer le poids. Cette méthode est la plus précise, mais la collecte de ces données n'est pas la plus simple. 
- Option 2 : choisir parmi les grandes catégories d'instruments proposées, et indiquer le nombre associé d'instruments
- Option 3 : intégrer les montants dépensés (€)
</t>
    </r>
    <r>
      <rPr>
        <sz val="10"/>
        <color rgb="FFFF0000"/>
        <rFont val="Arial"/>
        <family val="2"/>
      </rPr>
      <t>! ATTENTION, ne remplir qu'une seule option par ligne !</t>
    </r>
  </si>
  <si>
    <t>% de dépendance aux déplacements routiers (voiture, hors TC)</t>
  </si>
  <si>
    <t>% de la distance en véhicules routiers (hors TC)</t>
  </si>
  <si>
    <t>% de dépendance aux déplacements routiers (voiture, hors TC) - km</t>
  </si>
  <si>
    <t>% de dépendance aux déplacements aérien - km</t>
  </si>
  <si>
    <t>% de dépendance aux déplacements routiers (voiture, hors TC) - tCO2e</t>
  </si>
  <si>
    <t>% de dépendance aux déplacements aérien - tCO2e</t>
  </si>
  <si>
    <t>% des émissions liées aux équipements informatiques</t>
  </si>
  <si>
    <t>% des émissions liées à la flotte de véhicule</t>
  </si>
  <si>
    <t>% des émissions liées aux équipements scéniques</t>
  </si>
  <si>
    <t>% des émissions liées aux décors</t>
  </si>
  <si>
    <t>% des émissions liées aux costumes</t>
  </si>
  <si>
    <t>https://fonteneau-accordeons.fr/collections/price-asc-hohner?srsltid=AfmBOoorSYjXH4woLaeXVyG7ZB6qoFISuYWUzI-Jl-2ugtJYJ1G3hP7F
https://www.mon-accordeon.com/elements-musique</t>
  </si>
  <si>
    <t>https://www.superprof.fr/blog/composition-instrument-percussion/</t>
  </si>
  <si>
    <t>https://ekladata.com/c9bZjFBnSvuOXCXC4xXVLROXeHQ.pdf</t>
  </si>
  <si>
    <t>https://www.violon.com/contrebasse.html</t>
  </si>
  <si>
    <t>https://gebr-alexander.de/en/products/f-b-doppelhorn-modell-1106-heldenhorn-1</t>
  </si>
  <si>
    <t>https://www.instrument-musique.com/flute-traversiere/</t>
  </si>
  <si>
    <t>https://fr.wikipedia.org/wiki/Guitare</t>
  </si>
  <si>
    <t>https://www.harp-school.com/fr/guides/choisir-sa-harpe/?srsltid=AfmBOoriLLhunukBlX34negL3C7d2LjUGHjF4h6gjYjlWfB3e9qqApN4</t>
  </si>
  <si>
    <t>https://www.france-orgue.fr/orgue/index.php?zpg=org.doc.cmp&amp;cmd=frlst&amp;ido=1423.1422.1221.1220.</t>
  </si>
  <si>
    <t>https://jenlevejelivre.fr/poids-et-dimensions-dun-piano</t>
  </si>
  <si>
    <t>https://www.atelierdesvents.com/vente-occasion-neuf/Saxophone-Alto-Yamaha-YAS280-p150626788</t>
  </si>
  <si>
    <t>https://www.bauermusique.com/trombones/294-trombone-yamaha-ysl-350c.html</t>
  </si>
  <si>
    <t>https://www.musicstore.com/fr_FR/EUR/Yamaha-YTR-3335-Trompette-Si-B-mol/art-BLA0003134-000</t>
  </si>
  <si>
    <t>https://www.guillaume-kessler.fr/bois-de-lutherie-violons/?srsltid=AfmBOoqipXhCBU_xHxVyZU3H-02J-dT_uWXubS4Ssk0-8gby_cE3DEWg</t>
  </si>
  <si>
    <t>https://www.silentarena.fr/qu-est-ce-qu-un-violoncelle/</t>
  </si>
  <si>
    <t>https://www.r-sons.com/fr/instruments-de-percussion/claviers/xylophones/xylophone-musser-m51-3-octaves-1-2-kelon-id6035</t>
  </si>
  <si>
    <t>Sources</t>
  </si>
  <si>
    <t>Hypothèse de poids</t>
  </si>
  <si>
    <t>Hypothèses de matières</t>
  </si>
  <si>
    <t>Bois - cordes et métal négligé</t>
  </si>
  <si>
    <t xml:space="preserve">2/3 de bois feuillus et 1/3 maillechort </t>
  </si>
  <si>
    <t xml:space="preserve">Elémentaire </t>
  </si>
  <si>
    <r>
      <t xml:space="preserve">Ce poste d’émissions vise à calculer l’impact lié au matériel informatique. Dans ces équipements sont considérés les équipements possédés et les équipements loués (de longue durée).
Ces informations sont généralement disponibles auprès du service informatique lorsque vous en possédez un, sinon, grâce aux factures d’achat. 
Le premier tableau permet d'indiquer les données sous format d'un inventaire : le nombre d'équipement
Si vous n'avez pas ces informations, ou que vos équipements ne couvrent pas les principales catégories affichées dans le tableau, vous pouvez indiquer les montants dépensés des équipements restants </t>
    </r>
    <r>
      <rPr>
        <i/>
        <sz val="10"/>
        <color theme="1"/>
        <rFont val="Arial"/>
        <family val="2"/>
      </rPr>
      <t xml:space="preserve">(les montants correspondent à la totalité de la valeur </t>
    </r>
    <r>
      <rPr>
        <i/>
        <sz val="10"/>
        <color rgb="FFFF0000"/>
        <rFont val="Arial"/>
        <family val="2"/>
      </rPr>
      <t>d'acquisitio</t>
    </r>
    <r>
      <rPr>
        <i/>
        <sz val="10"/>
        <color theme="1"/>
        <rFont val="Arial"/>
        <family val="2"/>
      </rPr>
      <t xml:space="preserve">n de l'équipement). 
</t>
    </r>
    <r>
      <rPr>
        <sz val="10"/>
        <color theme="1"/>
        <rFont val="Arial"/>
        <family val="2"/>
      </rPr>
      <t xml:space="preserve">
De plus, si vous avez différentes dates d'amortissement pour un même équipement, vous pouvez utiliser une ligne par durée d'amortissement. </t>
    </r>
  </si>
  <si>
    <t>13) Achats - Documents papier</t>
  </si>
  <si>
    <t>L’onglet détaille l’ensemble des données relatives aux documents papier : 
- Ouvrages, livres, périodiques...
- Partitions
- Consommables liés aux documents papier (plastiques, puces, …)</t>
  </si>
  <si>
    <r>
      <t xml:space="preserve">Ce poste concerne les achats de partitions.
3 options s'offrent à vous : 
- Option 1 : intégrer le poids total par type de partition
- Option 2 : si le poids n'est pas disponible, intégrer le nombre de feuilles de partition et vérifier si la valeur par défaut vous semble cohérente, auquel cas vous pouvez la modifier directement
- Option 3 : intégrer les montants dépensés par type de partition
</t>
    </r>
    <r>
      <rPr>
        <sz val="10"/>
        <color rgb="FFFF0000"/>
        <rFont val="Arial"/>
        <family val="2"/>
      </rPr>
      <t>!!! ATTENTION, ne remplir qu'une option !!!</t>
    </r>
  </si>
  <si>
    <r>
      <t xml:space="preserve">Ce poste concerne les achats de livres, dictionnaires ou tout autre ouvrage.
3 options s'offrent à vous : 
- Option 1 : intégrer le poids total part type d'ouvrage
- Option 2 : si le poids n'est pas disponible, intégrer le nombre d'ouvrages. Des catégories ont été créées pour faciliter les prises d'hypothèses. Si vous choisissez les catégories Quotidien, Hebdomadaire, Mensuel, ces catégories prennent déjà en compte la totalité des exemplaires sur l'année, dans Unité (nombre d'ouvrages) vous devrez indiquer le nombre d'abonnements uniquement.
- Option 3 : intégrer les montants dépensés par type d'ouvrage
</t>
    </r>
    <r>
      <rPr>
        <sz val="10"/>
        <color rgb="FFFF0000"/>
        <rFont val="Arial"/>
        <family val="2"/>
      </rPr>
      <t>! ATTENTION, ne remplir qu'une option !</t>
    </r>
  </si>
  <si>
    <t>Matériau principal</t>
  </si>
  <si>
    <t xml:space="preserve">Ce poste d’émission vise à calculer l’impact lié à l'alimentation proposée par la structure auprès des publics et auprès des équipes accueillies. 
La liste comporte des repas type ("Repas viande", "repas végétarien"...), mais vous pouvez aussi indiquer les items précis si vous le souhaitez. </t>
  </si>
  <si>
    <t>Billetterie matérielle</t>
  </si>
  <si>
    <t>L’onglet détaille l’ensemble des données relatives à la billetterie matérielle et immatérielle : 
- Billetterie matérielle : impression papier sur site de la structure ou à domicile, livraison du billet et acquisition de carte d'abonnement
- Billetterie immatérielle : e-billets</t>
  </si>
  <si>
    <t>Billetterie immatérielle</t>
  </si>
  <si>
    <t>Déplacement des salariés</t>
  </si>
  <si>
    <t>Loin de remplacer une démarche plus avancée ou un bilan exhaustif des impacts liés aux activités, il propose une alternative aux établissements et structures encore novices sur ces sujets, en espérant être une première marche vers un engagement plus structuré.</t>
  </si>
  <si>
    <r>
      <rPr>
        <b/>
        <sz val="10"/>
        <color rgb="FF000000"/>
        <rFont val="Arial"/>
        <family val="2"/>
      </rPr>
      <t xml:space="preserve">Parcours avancé </t>
    </r>
    <r>
      <rPr>
        <sz val="10"/>
        <color rgb="FF000000"/>
        <rFont val="Arial"/>
        <family val="2"/>
      </rPr>
      <t xml:space="preserve">: ce niveau vise à dresser un bilan plus exhaustif des émissions de votre structure en prenant en compte le plus grand nombre de postes possibles </t>
    </r>
  </si>
  <si>
    <t>Retrouver directement les postes d'émissions :</t>
  </si>
  <si>
    <r>
      <rPr>
        <b/>
        <sz val="10"/>
        <color theme="4"/>
        <rFont val="Arial"/>
        <family val="2"/>
      </rPr>
      <t xml:space="preserve">o </t>
    </r>
    <r>
      <rPr>
        <sz val="10"/>
        <color theme="1"/>
        <rFont val="Arial"/>
        <family val="2"/>
      </rPr>
      <t>Compléter les champs correspondants aux informations générales (</t>
    </r>
    <r>
      <rPr>
        <b/>
        <sz val="10"/>
        <color theme="4"/>
        <rFont val="Arial"/>
        <family val="2"/>
      </rPr>
      <t>onglet "1_Votre structure"</t>
    </r>
    <r>
      <rPr>
        <sz val="10"/>
        <color theme="1"/>
        <rFont val="Arial"/>
        <family val="2"/>
      </rPr>
      <t xml:space="preserve">).
</t>
    </r>
    <r>
      <rPr>
        <b/>
        <sz val="10"/>
        <color theme="4"/>
        <rFont val="Arial"/>
        <family val="2"/>
      </rPr>
      <t>o</t>
    </r>
    <r>
      <rPr>
        <sz val="10"/>
        <color theme="1"/>
        <rFont val="Arial"/>
        <family val="2"/>
      </rPr>
      <t xml:space="preserve"> Se familiariser avec l’outil et les données demandées.
</t>
    </r>
    <r>
      <rPr>
        <b/>
        <sz val="10"/>
        <color theme="4"/>
        <rFont val="Arial"/>
        <family val="2"/>
      </rPr>
      <t>o</t>
    </r>
    <r>
      <rPr>
        <sz val="10"/>
        <color theme="1"/>
        <rFont val="Arial"/>
        <family val="2"/>
      </rPr>
      <t xml:space="preserve"> Identifier </t>
    </r>
    <r>
      <rPr>
        <b/>
        <sz val="10"/>
        <color theme="4"/>
        <rFont val="Arial"/>
        <family val="2"/>
      </rPr>
      <t>les personnes ressources.</t>
    </r>
    <r>
      <rPr>
        <sz val="10"/>
        <color theme="1"/>
        <rFont val="Arial"/>
        <family val="2"/>
      </rPr>
      <t xml:space="preserve">
</t>
    </r>
    <r>
      <rPr>
        <b/>
        <sz val="10"/>
        <color theme="4"/>
        <rFont val="Arial"/>
        <family val="2"/>
      </rPr>
      <t>o</t>
    </r>
    <r>
      <rPr>
        <sz val="10"/>
        <color theme="1"/>
        <rFont val="Arial"/>
        <family val="2"/>
      </rPr>
      <t xml:space="preserve"> </t>
    </r>
    <r>
      <rPr>
        <b/>
        <sz val="10"/>
        <color theme="4"/>
        <rFont val="Arial"/>
        <family val="2"/>
      </rPr>
      <t>Clarifier le périmètre</t>
    </r>
    <r>
      <rPr>
        <sz val="10"/>
        <color theme="1"/>
        <rFont val="Arial"/>
        <family val="2"/>
      </rPr>
      <t xml:space="preserve"> sur lequel vous allez mener le bilan (identifier les flux de votre activité, les sites concernés, la période de bilan – année scolaire ou année civile…). 
</t>
    </r>
    <r>
      <rPr>
        <b/>
        <sz val="10"/>
        <color theme="4"/>
        <rFont val="Arial"/>
        <family val="2"/>
      </rPr>
      <t>o</t>
    </r>
    <r>
      <rPr>
        <sz val="10"/>
        <color theme="1"/>
        <rFont val="Arial"/>
        <family val="2"/>
      </rPr>
      <t xml:space="preserve"> Définir les onglets qui seront complétés dans l'onglet Bienvenue ! N'hésitez à faire </t>
    </r>
    <r>
      <rPr>
        <b/>
        <sz val="10"/>
        <color theme="4"/>
        <rFont val="Arial"/>
        <family val="2"/>
      </rPr>
      <t>des arbitrages</t>
    </r>
    <r>
      <rPr>
        <sz val="10"/>
        <color theme="1"/>
        <rFont val="Arial"/>
        <family val="2"/>
      </rPr>
      <t xml:space="preserve"> entre les </t>
    </r>
    <r>
      <rPr>
        <b/>
        <sz val="10"/>
        <color theme="4"/>
        <rFont val="Arial"/>
        <family val="2"/>
      </rPr>
      <t>données disponibles</t>
    </r>
    <r>
      <rPr>
        <sz val="10"/>
        <color theme="1"/>
        <rFont val="Arial"/>
        <family val="2"/>
      </rPr>
      <t xml:space="preserve">, les postes qui sont </t>
    </r>
    <r>
      <rPr>
        <b/>
        <sz val="10"/>
        <color theme="4"/>
        <rFont val="Arial"/>
        <family val="2"/>
      </rPr>
      <t>significatifs</t>
    </r>
    <r>
      <rPr>
        <sz val="10"/>
        <color theme="1"/>
        <rFont val="Arial"/>
        <family val="2"/>
      </rPr>
      <t xml:space="preserve"> pour votre activité (les postes du parcours Elémentaire), les postes où </t>
    </r>
    <r>
      <rPr>
        <b/>
        <sz val="10"/>
        <color theme="4"/>
        <rFont val="Arial"/>
        <family val="2"/>
      </rPr>
      <t>des leviers d'actions sont possibles.</t>
    </r>
    <r>
      <rPr>
        <sz val="10"/>
        <color theme="1"/>
        <rFont val="Arial"/>
        <family val="2"/>
      </rPr>
      <t xml:space="preserve">
</t>
    </r>
    <r>
      <rPr>
        <b/>
        <sz val="10"/>
        <color theme="4"/>
        <rFont val="Arial"/>
        <family val="2"/>
      </rPr>
      <t>o</t>
    </r>
    <r>
      <rPr>
        <sz val="10"/>
        <color theme="1"/>
        <rFont val="Arial"/>
        <family val="2"/>
      </rPr>
      <t xml:space="preserve"> Le Bilan Carbone n'est pas une fin en soit, c'est un </t>
    </r>
    <r>
      <rPr>
        <b/>
        <sz val="10"/>
        <color theme="4"/>
        <rFont val="Arial"/>
        <family val="2"/>
      </rPr>
      <t xml:space="preserve">outil d'aide à la décision </t>
    </r>
    <r>
      <rPr>
        <sz val="10"/>
        <color theme="1"/>
        <rFont val="Arial"/>
        <family val="2"/>
      </rPr>
      <t xml:space="preserve">dans une optique de </t>
    </r>
    <r>
      <rPr>
        <b/>
        <sz val="10"/>
        <color theme="4"/>
        <rFont val="Arial"/>
        <family val="2"/>
      </rPr>
      <t>réduire son impact carbone</t>
    </r>
    <r>
      <rPr>
        <sz val="10"/>
        <color theme="1"/>
        <rFont val="Arial"/>
        <family val="2"/>
      </rPr>
      <t>. Il faut bien penser que les</t>
    </r>
    <r>
      <rPr>
        <b/>
        <sz val="10"/>
        <color theme="4"/>
        <rFont val="Arial"/>
        <family val="2"/>
      </rPr>
      <t xml:space="preserve"> efforts de collecte</t>
    </r>
    <r>
      <rPr>
        <sz val="10"/>
        <color theme="1"/>
        <rFont val="Arial"/>
        <family val="2"/>
      </rPr>
      <t xml:space="preserve"> doivent servir le plan d'actions et la démarche de réduction des émissions qui </t>
    </r>
    <r>
      <rPr>
        <sz val="10"/>
        <rFont val="Arial"/>
        <family val="2"/>
      </rPr>
      <t>suivra</t>
    </r>
    <r>
      <rPr>
        <sz val="10"/>
        <color theme="1"/>
        <rFont val="Arial"/>
        <family val="2"/>
      </rPr>
      <t xml:space="preserve"> la collecte et les calculs. </t>
    </r>
  </si>
  <si>
    <r>
      <rPr>
        <b/>
        <sz val="10"/>
        <color theme="4"/>
        <rFont val="Arial"/>
        <family val="2"/>
      </rPr>
      <t>o</t>
    </r>
    <r>
      <rPr>
        <sz val="10"/>
        <color theme="1"/>
        <rFont val="Arial"/>
        <family val="2"/>
      </rPr>
      <t xml:space="preserve"> Il est essentiel de mettre en place </t>
    </r>
    <r>
      <rPr>
        <b/>
        <sz val="10"/>
        <color theme="4"/>
        <rFont val="Arial"/>
        <family val="2"/>
      </rPr>
      <t xml:space="preserve">un suivi régulier de la collecte </t>
    </r>
    <r>
      <rPr>
        <sz val="10"/>
        <color theme="1"/>
        <rFont val="Arial"/>
        <family val="2"/>
      </rPr>
      <t xml:space="preserve">avec les personnes ressources afin de voir leurs avancées ou déceler des blocages.
</t>
    </r>
    <r>
      <rPr>
        <b/>
        <sz val="10"/>
        <color theme="4"/>
        <rFont val="Arial"/>
        <family val="2"/>
      </rPr>
      <t>o</t>
    </r>
    <r>
      <rPr>
        <sz val="10"/>
        <color theme="1"/>
        <rFont val="Arial"/>
        <family val="2"/>
      </rPr>
      <t xml:space="preserve"> Certaines données peuvent être plus complexes que d’autres à obtenir.
</t>
    </r>
    <r>
      <rPr>
        <b/>
        <sz val="10"/>
        <color theme="4"/>
        <rFont val="Arial"/>
        <family val="2"/>
      </rPr>
      <t>o</t>
    </r>
    <r>
      <rPr>
        <sz val="10"/>
        <color theme="1"/>
        <rFont val="Arial"/>
        <family val="2"/>
      </rPr>
      <t xml:space="preserve"> L’outil n’a </t>
    </r>
    <r>
      <rPr>
        <b/>
        <sz val="10"/>
        <color theme="4"/>
        <rFont val="Arial"/>
        <family val="2"/>
      </rPr>
      <t>pas vocation à être exhaustif</t>
    </r>
    <r>
      <rPr>
        <sz val="10"/>
        <color theme="1"/>
        <rFont val="Arial"/>
        <family val="2"/>
      </rPr>
      <t xml:space="preserve">. Il est proposé de quantifier une sélection de postes d’émissions, pour </t>
    </r>
    <r>
      <rPr>
        <b/>
        <sz val="10"/>
        <color theme="4"/>
        <rFont val="Arial"/>
        <family val="2"/>
      </rPr>
      <t>une première approche</t>
    </r>
    <r>
      <rPr>
        <sz val="10"/>
        <color theme="1"/>
        <rFont val="Arial"/>
        <family val="2"/>
      </rPr>
      <t xml:space="preserve">. Cependant, si vous ne disposez pas de certaines données, le poste peut être mis de côté pour être repris ultérieurement. 
</t>
    </r>
    <r>
      <rPr>
        <b/>
        <sz val="10"/>
        <color theme="4"/>
        <rFont val="Arial"/>
        <family val="2"/>
      </rPr>
      <t>o</t>
    </r>
    <r>
      <rPr>
        <sz val="10"/>
        <color theme="1"/>
        <rFont val="Arial"/>
        <family val="2"/>
      </rPr>
      <t xml:space="preserve"> De même, certaines données ne seront pas disponibles sur l’année considérée (exemple : facturations trimestrielles, absence de suivi sur l’année de reporting, etc.). Les données peuvent également ne pas être disponibles à l’échelle souhaitée, ainsi, elles peuvent faire l’objet de </t>
    </r>
    <r>
      <rPr>
        <b/>
        <sz val="10"/>
        <color theme="4"/>
        <rFont val="Arial"/>
        <family val="2"/>
      </rPr>
      <t>calculs</t>
    </r>
    <r>
      <rPr>
        <sz val="10"/>
        <color theme="1"/>
        <rFont val="Arial"/>
        <family val="2"/>
      </rPr>
      <t xml:space="preserve"> (ventilation à partir d’une clé de répartition, calcul à partir d’un ratio moyen, etc.).
Dans ces cas, il est conseillé d’utiliser les données les plus précises à disposition,</t>
    </r>
    <r>
      <rPr>
        <b/>
        <sz val="10"/>
        <color theme="4"/>
        <rFont val="Arial"/>
        <family val="2"/>
      </rPr>
      <t xml:space="preserve"> plutôt que d’exclure le poste</t>
    </r>
    <r>
      <rPr>
        <sz val="10"/>
        <color theme="1"/>
        <rFont val="Arial"/>
        <family val="2"/>
      </rPr>
      <t xml:space="preserve">. Ainsi, il sera admis </t>
    </r>
    <r>
      <rPr>
        <b/>
        <sz val="10"/>
        <color theme="4"/>
        <rFont val="Arial"/>
        <family val="2"/>
      </rPr>
      <t>une incertitude liée à l’utilisation de ces données.
o La collecte est itérative</t>
    </r>
    <r>
      <rPr>
        <sz val="10"/>
        <rFont val="Arial"/>
        <family val="2"/>
      </rPr>
      <t xml:space="preserve"> :  la précision peut augmenter autant qu’on le souhaite, durant l’exercice ou pour les prochains exercices. L'essence même du Bilan Carbone est bien </t>
    </r>
    <r>
      <rPr>
        <b/>
        <sz val="10"/>
        <color theme="4"/>
        <rFont val="Arial"/>
        <family val="2"/>
      </rPr>
      <t xml:space="preserve">d'estimer </t>
    </r>
    <r>
      <rPr>
        <sz val="10"/>
        <rFont val="Arial"/>
        <family val="2"/>
      </rPr>
      <t xml:space="preserve">et non de calculer précisément les émisisons, il faut donc accepter les incertitudes et les modélisations des impacts. 
</t>
    </r>
    <r>
      <rPr>
        <b/>
        <sz val="10"/>
        <color theme="4"/>
        <rFont val="Arial"/>
        <family val="2"/>
      </rPr>
      <t>o</t>
    </r>
    <r>
      <rPr>
        <sz val="10"/>
        <rFont val="Arial"/>
        <family val="2"/>
      </rPr>
      <t xml:space="preserve"> Les tableaux dans chaque onglet ont parfois </t>
    </r>
    <r>
      <rPr>
        <b/>
        <sz val="10"/>
        <color theme="4"/>
        <rFont val="Arial"/>
        <family val="2"/>
      </rPr>
      <t>plusieurs options proposées</t>
    </r>
    <r>
      <rPr>
        <sz val="10"/>
        <rFont val="Arial"/>
        <family val="2"/>
      </rPr>
      <t xml:space="preserve">, cela permet de varier les </t>
    </r>
    <r>
      <rPr>
        <b/>
        <sz val="10"/>
        <color theme="4"/>
        <rFont val="Arial"/>
        <family val="2"/>
      </rPr>
      <t>possibilités de collecte</t>
    </r>
    <r>
      <rPr>
        <sz val="10"/>
        <rFont val="Arial"/>
        <family val="2"/>
      </rPr>
      <t xml:space="preserve">, mais cela varie aussi </t>
    </r>
    <r>
      <rPr>
        <b/>
        <sz val="10"/>
        <color theme="4"/>
        <rFont val="Arial"/>
        <family val="2"/>
      </rPr>
      <t>la précision</t>
    </r>
    <r>
      <rPr>
        <sz val="10"/>
        <rFont val="Arial"/>
        <family val="2"/>
      </rPr>
      <t xml:space="preserve">. Par défaut, il vous sera souvent proposé de collecter les données "en montant dépensé", ces types de données sont facilement disponibles grâce à vos bilans comptables, cependant les facteurs d'émissions qui seront utilisés ont une </t>
    </r>
    <r>
      <rPr>
        <b/>
        <sz val="10"/>
        <color theme="4"/>
        <rFont val="Arial"/>
        <family val="2"/>
      </rPr>
      <t>incertitude très forte</t>
    </r>
    <r>
      <rPr>
        <sz val="10"/>
        <rFont val="Arial"/>
        <family val="2"/>
      </rPr>
      <t xml:space="preserve">. Il est donc conseillé, dans la mesure du possible, d'utiliser des formats de données physiques hors monétaires. 
</t>
    </r>
    <r>
      <rPr>
        <b/>
        <sz val="10"/>
        <color theme="4"/>
        <rFont val="Arial"/>
        <family val="2"/>
      </rPr>
      <t>o</t>
    </r>
    <r>
      <rPr>
        <sz val="10"/>
        <rFont val="Arial"/>
        <family val="2"/>
      </rPr>
      <t xml:space="preserve"> Ces </t>
    </r>
    <r>
      <rPr>
        <b/>
        <sz val="10"/>
        <color theme="4"/>
        <rFont val="Arial"/>
        <family val="2"/>
      </rPr>
      <t>données physiques</t>
    </r>
    <r>
      <rPr>
        <sz val="10"/>
        <rFont val="Arial"/>
        <family val="2"/>
      </rPr>
      <t xml:space="preserve"> pourront vous être proposées dans les options des tableaux ou dans d'autres onglets. 
</t>
    </r>
    <r>
      <rPr>
        <b/>
        <sz val="10"/>
        <color theme="4"/>
        <rFont val="Arial"/>
        <family val="2"/>
      </rPr>
      <t>o</t>
    </r>
    <r>
      <rPr>
        <sz val="10"/>
        <rFont val="Arial"/>
        <family val="2"/>
      </rPr>
      <t xml:space="preserve"> Pour une même donnée, on ne peut choisir qu'une seule option, mais dans un tableau, il est possible de choisir des options différentes pour des données différentes. Exemple, dans l'onglet des Décors, il est possible d'inscrire une ligne de données en inscrivant les poids et les matières, et une ligne de données en inscrivant les montants dépensés. Mais attention, ces 2 lignes de données ne doivent pas représenter le même décor ! </t>
    </r>
    <r>
      <rPr>
        <sz val="10"/>
        <color theme="1"/>
        <rFont val="Arial"/>
        <family val="2"/>
      </rPr>
      <t xml:space="preserve">
</t>
    </r>
    <r>
      <rPr>
        <i/>
        <sz val="10"/>
        <color theme="1"/>
        <rFont val="Arial"/>
        <family val="2"/>
      </rPr>
      <t>Il est conseillé au référent de consigner dans un document l’ensemble des sources des données utilisées et les éventuelles limites rencontrées et hypothèses prises pour les calculs et estimations. Il est important de noter également tout ce qui peut relever du caractère exceptionnel de certaines valeurs (tenue exceptionnelle d’un évènement d’ampleur, panne de chauffage …) qui pourraient apporter des éclairages sur les données et le bilan.</t>
    </r>
  </si>
  <si>
    <r>
      <t xml:space="preserve">Les travaux liés à vos bâtiments et les agencements sont </t>
    </r>
    <r>
      <rPr>
        <sz val="10"/>
        <rFont val="Arial"/>
        <family val="2"/>
      </rPr>
      <t>à intégrer</t>
    </r>
    <r>
      <rPr>
        <sz val="10"/>
        <color rgb="FFFF0000"/>
        <rFont val="Arial"/>
        <family val="2"/>
      </rPr>
      <t xml:space="preserve"> </t>
    </r>
    <r>
      <rPr>
        <sz val="10"/>
        <color theme="1"/>
        <rFont val="Arial"/>
        <family val="2"/>
      </rPr>
      <t xml:space="preserve">dans le bilan carbone. Ici, vous pouvez intégrer le bâtiment concerné, l'année des travaux et le montant dépensé pour ces travaux.
Ces travaux et agencements sont considérés souvent comme des dépenses importantes présentes parmi vos immobilisations (ce ne sont pas de simples actions de maintenance). 
Il faut prendre en compte toutes les dépenses de travaux et d'agencements en cours d'amortissement, donc potentiellement des dépensés réalisées les années précédentes. 
Et le montant à indiquer dans ce tableau, est bien le montant total des travaux, et non le montant amorti sur un an. </t>
    </r>
  </si>
  <si>
    <r>
      <t>Ce poste vise à calculer l’impact lié à la fin de vie des équipements, déchets alimentaires, etc. en fonction de leur quantité et de leur type de traitement.
Ces données peuvent être demandées au prestataire d’enlèvement si vous en avez un, ou à la collectivité, lorsqu’il y a pesée (pour les structures soumises au tri des 5 flux et à la redevance associée). Sinon</t>
    </r>
    <r>
      <rPr>
        <sz val="10"/>
        <color theme="1"/>
        <rFont val="Arial"/>
        <family val="2"/>
      </rPr>
      <t xml:space="preserve"> une campagne de mesure/pesée </t>
    </r>
    <r>
      <rPr>
        <sz val="10"/>
        <rFont val="Arial"/>
        <family val="2"/>
      </rPr>
      <t>peut être réalisée</t>
    </r>
    <r>
      <rPr>
        <sz val="10"/>
        <color theme="1"/>
        <rFont val="Arial"/>
        <family val="2"/>
      </rPr>
      <t xml:space="preserve"> sur une durée déterminée et représentative des flux de déchets de la structure.
</t>
    </r>
    <r>
      <rPr>
        <sz val="10"/>
        <rFont val="Arial"/>
        <family val="2"/>
      </rPr>
      <t>A défaut, la méthode 2 permet d’estimer le tonnage à partir des bacs à disposition. Pour les trajets en déchetterie</t>
    </r>
    <r>
      <rPr>
        <sz val="10"/>
        <color theme="1"/>
        <rFont val="Arial"/>
        <family val="2"/>
      </rPr>
      <t xml:space="preserve">, vous pouvez également préciser le volume estimatif de déchets à la place de la contenance du bac. Dans ce cas, considérer un remplissage 100%, 1 seul bac et 1 seul enlèvement pour un trajet.
Aide : pour convertir des m3 en tonnes, vous pouvez chercher sur internet la densité par type de déchets </t>
    </r>
    <r>
      <rPr>
        <sz val="10"/>
        <rFont val="Arial"/>
        <family val="2"/>
      </rPr>
      <t>(par exemple : https://www.collvert.fr/img/cms/Normes/Norme Collvert conversion volume poids.pdf).</t>
    </r>
  </si>
  <si>
    <t>Nbre d'interventions (année n)</t>
  </si>
  <si>
    <r>
      <rPr>
        <sz val="10"/>
        <rFont val="Arial"/>
        <family val="2"/>
      </rPr>
      <t xml:space="preserve">Il est question ici de calculer l’impact lié aux déplacements professionnels, que cela soit avec votre flotte de véhicules, avec des véhicules en location ou en transport en commun. 
L'impact de la fabrication de votre flotte sera comptabilisé dans l'onglet 12_Equipements. 
Deux options s'offrent à vous pour indiquer vos déplacements professionnels : 
- indiquer les consommations de carburant : attention aux unités proposées !
- indiquer les distances parcourues. Pour cela deux techniques sont possibles : 
                   - Soit vous indiquez les distances parcourues totales par mode de transport, et donc si 4 personnes prennent le train sur 400 km, il faudra inscrire 4*400 km soit 1600 km parcourus. Cependant, il y a une exception pour le mode de transport Covoiturage, le nombre de personnes est déjà pris en compte dans le résultat, il ne faut donc pas multiplier par le nombre de personnes présents dans la voiture.
                   - Soit vous indiquez les kilomètres unitaires de trajet (aller retour, bien sûr), et ensuite, vous indiquez le nombre de personnes réalisant le trajet ou le nombre de véhicules affrétés. De la même manière, si vous choisissez le mode de transport Covoiturage, n'indiquez pas le nombre de personnes présentes dans les véhicules. 
</t>
    </r>
    <r>
      <rPr>
        <sz val="10"/>
        <color theme="1"/>
        <rFont val="Arial"/>
        <family val="2"/>
      </rPr>
      <t xml:space="preserve">
Bonnes pratiques : Si les données de consommation en litres ne sont pas connues, il vous est possible de recalculer cette valeur, soit à partir des kilomètres parcourus et d’une consommation moyenne du véhicule, soit à partir des factures de carburant et d’un prix moyen sur l’année en cours.</t>
    </r>
  </si>
  <si>
    <r>
      <t xml:space="preserve">Il est question ici de calculer l’impact lié aux déplacements professionnels dans le cadre de tournées artistiques, avec votre flotte de véhicules, avec des véhicules en location ou en transport en commun. 
L'impact de la fabrication de votre flotte sera comptabilisé dans l'onglet 12_Equipements. 
</t>
    </r>
    <r>
      <rPr>
        <sz val="10"/>
        <color theme="9"/>
        <rFont val="Arial"/>
        <family val="2"/>
      </rPr>
      <t>ATTENTION à ne pas indiquer des déplacements professionnels qui seraient déjà collectés dans l'onglet 7_DéplacementsProfesionnels</t>
    </r>
    <r>
      <rPr>
        <sz val="10"/>
        <rFont val="Arial"/>
        <family val="2"/>
      </rPr>
      <t xml:space="preserve">
Deux options s'offrent à vous pour indiquer vos déplacements professionnels : 
- indiquer les consommations de carburant, attention aux unités proposés
- indiquer les distances parcourues. Et pour cela deux techniques sont possibles : 
                   - Soit vous indiquez les distances parcourues totale par mode de transport, et donc si 4 personnes prennent le train sur 400 km, il faudra inscrire 4*400 km soit 1600 km parcourus. Cependant, il y a une exception pour le mode de transport Covoiturage, le nombre de personnes est déjà pris en compte dans le résultat, il ne faut donc pas multiplier par le nombre de personnes présents dans la voiture.
                   - Soit vous indiquez les kilomètres unitaires de trajet (aller retour, bien sûr), et ensuite, vous indiquez le nombre de personnes réalisant le trajet ou le nombre de véhicules affrétés. De la même manière, si vous choisissez le mode de transport Covoiturage, n'indiquez pas le nombre de personnes présentes dans les véhicules. 
Bonnes pratiques : Si les données de consommation en litres ne sont pas connues, il vous est possible de recalculer cette valeur, soit à partir des kilomètres parcourus et d’une consommation moyenne du véhicule, soit à partir des factures de carburant et d’un prix moyen sur l’année en cours.</t>
    </r>
  </si>
  <si>
    <r>
      <t xml:space="preserve">L’onglet détaille l’ensemble des données relatives aux déplacements liés aux tournées artistiques des équipes de la structure. L’onglet s’organise en 3 tableaux :
</t>
    </r>
    <r>
      <rPr>
        <b/>
        <sz val="10"/>
        <rFont val="Arial"/>
        <family val="2"/>
      </rPr>
      <t>Déplacement des salariés</t>
    </r>
    <r>
      <rPr>
        <sz val="10"/>
        <rFont val="Arial"/>
        <family val="2"/>
      </rPr>
      <t xml:space="preserve">
        Ce tableau est adapté pour les tournées réalisées avec vos salariés dans des véhicules non inclus dans votre flotte de véhicules. 
</t>
    </r>
    <r>
      <rPr>
        <b/>
        <sz val="10"/>
        <rFont val="Arial"/>
        <family val="2"/>
      </rPr>
      <t>Transport de matériel artistique</t>
    </r>
    <r>
      <rPr>
        <sz val="10"/>
        <rFont val="Arial"/>
        <family val="2"/>
      </rPr>
      <t xml:space="preserve">
        Ce tableau est adapté pour le transport de matériel artistique assuré par des véhicules non inclus dans votre flotte de véhicules.
</t>
    </r>
    <r>
      <rPr>
        <b/>
        <sz val="10"/>
        <rFont val="Arial"/>
        <family val="2"/>
      </rPr>
      <t>Hébergements des salariés</t>
    </r>
    <r>
      <rPr>
        <sz val="10"/>
        <rFont val="Arial"/>
        <family val="2"/>
      </rPr>
      <t xml:space="preserve">
        Ce tableau est adapté pour les hébergements effectués par vos salariés.
</t>
    </r>
    <r>
      <rPr>
        <i/>
        <sz val="10"/>
        <rFont val="Arial"/>
        <family val="2"/>
      </rPr>
      <t>Dans le cas de déplacements effectués dans vos véhicules, l’impact est déjà pris en compte dans l'onglet "Flotte de véhicules".</t>
    </r>
  </si>
  <si>
    <r>
      <t xml:space="preserve">L’onglet détaille l’ensemble des données relatives aux équipements présents dans votre structure : 
</t>
    </r>
    <r>
      <rPr>
        <b/>
        <sz val="11"/>
        <color theme="1"/>
        <rFont val="Calibri"/>
        <family val="2"/>
        <scheme val="minor"/>
      </rPr>
      <t xml:space="preserve">- Mobilier
- Flotte de véhicule
- Inventaire de CD et DVD
- Equipements informatiques
- Equipements scéniques
- Instruments de musique
</t>
    </r>
    <r>
      <rPr>
        <sz val="11"/>
        <color theme="1"/>
        <rFont val="Calibri"/>
        <family val="2"/>
        <scheme val="minor"/>
      </rPr>
      <t xml:space="preserve">
Les éléments pris en compte ici, sont les équipements </t>
    </r>
    <r>
      <rPr>
        <b/>
        <u/>
        <sz val="11"/>
        <color theme="9"/>
        <rFont val="Calibri"/>
        <family val="2"/>
        <scheme val="minor"/>
      </rPr>
      <t>en cours d'amortissement.</t>
    </r>
    <r>
      <rPr>
        <sz val="11"/>
        <color theme="1"/>
        <rFont val="Calibri"/>
        <family val="2"/>
        <scheme val="minor"/>
      </rPr>
      <t xml:space="preserve"> Si vous ne possédez pas cette information, vous pouvez indiquer vos inventaires avec l'année d'acquisition, et une durée standard d'amortissement sera utilisée (vous pouvez aussi modifier cette durée standard si elle ne correspond pas à votre réalité).
Sont proposées plusieurs options d'unités possibles pour chaque catégorie : </t>
    </r>
    <r>
      <rPr>
        <b/>
        <sz val="11"/>
        <color theme="1"/>
        <rFont val="Calibri"/>
        <family val="2"/>
        <scheme val="minor"/>
      </rPr>
      <t>une donnée en inventaire</t>
    </r>
    <r>
      <rPr>
        <sz val="11"/>
        <color theme="1"/>
        <rFont val="Calibri"/>
        <family val="2"/>
        <scheme val="minor"/>
      </rPr>
      <t xml:space="preserve"> physique, et si cette donnée n'existe pas, il est possible d'indiquer le </t>
    </r>
    <r>
      <rPr>
        <b/>
        <sz val="11"/>
        <color theme="1"/>
        <rFont val="Calibri"/>
        <family val="2"/>
        <scheme val="minor"/>
      </rPr>
      <t>montant dépensé</t>
    </r>
    <r>
      <rPr>
        <sz val="11"/>
        <color theme="1"/>
        <rFont val="Calibri"/>
        <family val="2"/>
        <scheme val="minor"/>
      </rPr>
      <t xml:space="preserve">. Ce montant dépensé est </t>
    </r>
    <r>
      <rPr>
        <b/>
        <sz val="11"/>
        <color theme="9"/>
        <rFont val="Calibri"/>
        <family val="2"/>
        <scheme val="minor"/>
      </rPr>
      <t xml:space="preserve">le montant total </t>
    </r>
    <r>
      <rPr>
        <sz val="11"/>
        <color theme="1"/>
        <rFont val="Calibri"/>
        <family val="2"/>
        <scheme val="minor"/>
      </rPr>
      <t xml:space="preserve">de l'acquisition (et non la somme restante à amortir). 
Si vous avez des équipements </t>
    </r>
    <r>
      <rPr>
        <b/>
        <sz val="11"/>
        <color theme="1"/>
        <rFont val="Calibri"/>
        <family val="2"/>
        <scheme val="minor"/>
      </rPr>
      <t>en location de longue durée</t>
    </r>
    <r>
      <rPr>
        <sz val="11"/>
        <color theme="1"/>
        <rFont val="Calibri"/>
        <family val="2"/>
        <scheme val="minor"/>
      </rPr>
      <t>, vous pouvez les intégrer de la même manière que ceux que vous posséder. 
Si vous avez des équipements</t>
    </r>
    <r>
      <rPr>
        <b/>
        <sz val="11"/>
        <color theme="1"/>
        <rFont val="Calibri"/>
        <family val="2"/>
        <scheme val="minor"/>
      </rPr>
      <t xml:space="preserve"> en location de courte durée</t>
    </r>
    <r>
      <rPr>
        <sz val="11"/>
        <color theme="1"/>
        <rFont val="Calibri"/>
        <family val="2"/>
        <scheme val="minor"/>
      </rPr>
      <t xml:space="preserve">, vous pouvez les indiquer plutôt dans 16_Autres Achats et préférer prendre en compte le montant de la prestation.
Si vous avez reçu des équipements </t>
    </r>
    <r>
      <rPr>
        <b/>
        <sz val="11"/>
        <color theme="1"/>
        <rFont val="Calibri"/>
        <family val="2"/>
        <scheme val="minor"/>
      </rPr>
      <t>en don</t>
    </r>
    <r>
      <rPr>
        <sz val="11"/>
        <color theme="1"/>
        <rFont val="Calibri"/>
        <family val="2"/>
        <scheme val="minor"/>
      </rPr>
      <t xml:space="preserve"> ou que vous avez acheté des équipements </t>
    </r>
    <r>
      <rPr>
        <b/>
        <sz val="11"/>
        <color theme="1"/>
        <rFont val="Calibri"/>
        <family val="2"/>
        <scheme val="minor"/>
      </rPr>
      <t>en seconde main</t>
    </r>
    <r>
      <rPr>
        <sz val="11"/>
        <color theme="1"/>
        <rFont val="Calibri"/>
        <family val="2"/>
        <scheme val="minor"/>
      </rPr>
      <t xml:space="preserve">, deux possibilités s'offrent à vous : 
- Vous considérez que l'équipement a eu une vie complète avant que vous l'utilisiez, que sa durée d'amortissement semblent être dépassée. Vous pouvez donc ne pas le compter dans les équipements et considérer que les émissions liées à </t>
    </r>
    <r>
      <rPr>
        <sz val="11"/>
        <rFont val="Calibri"/>
        <family val="2"/>
        <scheme val="minor"/>
      </rPr>
      <t xml:space="preserve">sa fabrication </t>
    </r>
    <r>
      <rPr>
        <sz val="11"/>
        <color theme="1"/>
        <rFont val="Calibri"/>
        <family val="2"/>
        <scheme val="minor"/>
      </rPr>
      <t xml:space="preserve">ont déjà été </t>
    </r>
    <r>
      <rPr>
        <sz val="11"/>
        <rFont val="Calibri"/>
        <family val="2"/>
        <scheme val="minor"/>
      </rPr>
      <t>prises en compte.</t>
    </r>
    <r>
      <rPr>
        <sz val="11"/>
        <color theme="1"/>
        <rFont val="Calibri"/>
        <family val="2"/>
        <scheme val="minor"/>
      </rPr>
      <t xml:space="preserve">
- Vous considérez que l'équipement n'a pas encore atteint sa durée d'amortissement, il faut donc le prendre en compte dans les tableaux ci-dessous. Vous pouvez ajuster la durée d'amortissement pour représenter mieux la réalité. </t>
    </r>
  </si>
  <si>
    <r>
      <t xml:space="preserve">Ce poste d’émissions vise à calculer l’impact lié au mobilier. Dans ces équipements sont considérés les équipements possédés et les équipements loués (de longue durée).
Ces informations sont généralement disponibles auprès du service achats lorsque vous en possédez un, sinon, grâce aux factures d’achat. 
Trois options sont possibles : 
- Option 1 : inscrire le type de matériaux ou sélectionner "Matériaux inconnus" et indiquer le poids.
- Option 2 : indiquer les inventaires unitaires en fonction des typologies de meubles proposés. Si les catégories de meubles que vous souhaitez indiquer n'existe pas, </t>
    </r>
    <r>
      <rPr>
        <sz val="10"/>
        <rFont val="Arial"/>
        <family val="2"/>
      </rPr>
      <t xml:space="preserve">choisissez l'option 3. 
- Option 3 : intégrer les montants dépensés (€) </t>
    </r>
    <r>
      <rPr>
        <i/>
        <sz val="10"/>
        <rFont val="Arial"/>
        <family val="2"/>
      </rPr>
      <t>(les montants correspondent à la totalité de la valeur d'acquisition de l'équipement).</t>
    </r>
    <r>
      <rPr>
        <sz val="10"/>
        <color theme="1"/>
        <rFont val="Arial"/>
        <family val="2"/>
      </rPr>
      <t xml:space="preserve">
</t>
    </r>
    <r>
      <rPr>
        <sz val="10"/>
        <color rgb="FFFF0000"/>
        <rFont val="Arial"/>
        <family val="2"/>
      </rPr>
      <t>! ATTENTION, ne remplir qu'une seule option par ligne !</t>
    </r>
  </si>
  <si>
    <r>
      <t xml:space="preserve">Ce poste d'émissions vise à calculer les impacts liés à la fabrication de votre flotte de véhicule, ainsi que les véhicules loués de longue durée. 
Deux options sont possibles : 
- Option 1 : inscrire le type de véhicule, le nombre de véhicules ainsi que ainsi que le poids
- Option 2 : intégrer les montants dépensés (€) </t>
    </r>
    <r>
      <rPr>
        <i/>
        <sz val="11"/>
        <color theme="1"/>
        <rFont val="Calibri"/>
        <family val="2"/>
        <scheme val="minor"/>
      </rPr>
      <t>(les montants correspondent à la totalité de la vale</t>
    </r>
    <r>
      <rPr>
        <i/>
        <sz val="11"/>
        <rFont val="Calibri"/>
        <family val="2"/>
        <scheme val="minor"/>
      </rPr>
      <t>ur d'acquisition</t>
    </r>
    <r>
      <rPr>
        <i/>
        <sz val="11"/>
        <color theme="1"/>
        <rFont val="Calibri"/>
        <family val="2"/>
        <scheme val="minor"/>
      </rPr>
      <t xml:space="preserve"> de l'équipement)
</t>
    </r>
    <r>
      <rPr>
        <i/>
        <sz val="11"/>
        <color rgb="FFFF0000"/>
        <rFont val="Calibri"/>
        <family val="2"/>
        <scheme val="minor"/>
      </rPr>
      <t>! ATTENTION, ne remplir qu'une seule option par ligne !</t>
    </r>
  </si>
  <si>
    <r>
      <t xml:space="preserve">Ce poste d'émissions vise à calculer les impacts liés à la fabrication de votre inventaire de CDs et DVDs. 
Deux options sont possibles : 
- Option 1 : inscrire le nombre d'équipements, en détaillant les catégories
- Option 2 : intégrer les montants dépensés (€) </t>
    </r>
    <r>
      <rPr>
        <i/>
        <sz val="11"/>
        <color theme="1"/>
        <rFont val="Calibri"/>
        <family val="2"/>
        <scheme val="minor"/>
      </rPr>
      <t xml:space="preserve">(les montants correspondent à la totalité de la valeur </t>
    </r>
    <r>
      <rPr>
        <i/>
        <sz val="11"/>
        <rFont val="Calibri"/>
        <family val="2"/>
        <scheme val="minor"/>
      </rPr>
      <t>d'acquisition</t>
    </r>
    <r>
      <rPr>
        <i/>
        <sz val="11"/>
        <color theme="1"/>
        <rFont val="Calibri"/>
        <family val="2"/>
        <scheme val="minor"/>
      </rPr>
      <t xml:space="preserve"> de l'équipement)</t>
    </r>
    <r>
      <rPr>
        <sz val="11"/>
        <color theme="1"/>
        <rFont val="Calibri"/>
        <family val="2"/>
        <scheme val="minor"/>
      </rPr>
      <t xml:space="preserve">
</t>
    </r>
    <r>
      <rPr>
        <sz val="11"/>
        <color theme="9"/>
        <rFont val="Calibri"/>
        <family val="2"/>
        <scheme val="minor"/>
      </rPr>
      <t>! ATTENTION, ne remplir qu'une seule option par ligne !</t>
    </r>
  </si>
  <si>
    <t>Présentation de l'outil</t>
  </si>
  <si>
    <t xml:space="preserve">- Les cases en roses sont à remplir avec vos données
- Les cases en jaune sont des listes à dérouler. Vous devez sélectionner l'intitulé le plus proche de votre donnée
- Les cases en gris sont des cases qui se remplissent automatiquement. Vous n'avez pas à les compléter ou les modifier, mais les informations qui seront affichées automatiquement pourront vous être utiles
- Les cases en vert sont aussi des cases qui se remplissement autonomaitquement. Nous n'avez pas à les compléter ou les modifier. Elles vous donneront les résultats en émissions associées aux données d'une ligne. </t>
  </si>
  <si>
    <t>Source Poids</t>
  </si>
  <si>
    <t>Conservatoire de Lyon</t>
  </si>
  <si>
    <t>Moyenne des poids</t>
  </si>
  <si>
    <r>
      <t>Ce poste d’émission vise à calculer l’impact lié aux déplacements pendulaires des salariés (équipe permanente et équipe intermittente), induits par le fonctionnement de la structure. 
Ces données sont à collecter auprès des salariés en réalisant une enquête. 
La plupart du temps, il sera nécessaire d’estimer ces déplacements à partir d’une enquête diffusée auprès de ses salariés, ou de réaliser une estimation à partir du fichier de domiciliation des salariés et des remboursements des abonnements en transports en commun.</t>
    </r>
    <r>
      <rPr>
        <sz val="10"/>
        <color theme="9"/>
        <rFont val="Arial"/>
        <family val="2"/>
      </rPr>
      <t xml:space="preserve">
</t>
    </r>
    <r>
      <rPr>
        <sz val="10"/>
        <rFont val="Arial"/>
        <family val="2"/>
      </rPr>
      <t xml:space="preserve">Si vous notez des cas de multimodalité que vous souhaitez détailler, il faut indiquer autant de ligne de donnée que de transports utilisés pour chaque utilisateur. 
</t>
    </r>
    <r>
      <rPr>
        <sz val="10"/>
        <color rgb="FFFF0000"/>
        <rFont val="Arial"/>
        <family val="2"/>
      </rPr>
      <t xml:space="preserve">Attention à bien renseigner la typologie de l'équipe (permanente ou intermittente). 
Il existe cependant une règle particulière pour le covoiturage : 
</t>
    </r>
    <r>
      <rPr>
        <sz val="10"/>
        <rFont val="Arial"/>
        <family val="2"/>
      </rPr>
      <t xml:space="preserve">-  Pour le covoiturage, vous pouvez indiquer le nombre de personnes compris dans les voitures. Attention à ne pas faire de double compte, si 2 personnes vous disent qu'elles viennent en covoiturage, et que dans la voiture se trouve 2 personnes. Il ne faut mettre qu'une seule fois les kilomètres parcourues. </t>
    </r>
  </si>
  <si>
    <r>
      <t xml:space="preserve">Ce poste d’émission vise à calculer l’impact lié au déplacement des spectaceurs, visiteurs de la structure.
Généralement ces données sont issues d’enquêtes déplacement des spectaceurs, visiteurs. Sinon, il est possible d’en faire une estimation en ordre de grandeur à partir d’une provenance moyenne et d’un mode de transport.
Selon les types de structures l’enquête peut être : 
- Diffusée aux abonnés / adhérents / inscrits à une liste de diffusion.
- Incluse dans des documents d’inscription ou de billetterie.
- Renseignée à l’accueil de la structure par les agents d’accueil ou rendue disponible sous forme de QR code 
Il est conseillé de réaliser l’enquête en ligne afin de faciliter le traitement des données. 
La distance parcourue par chaque spectaceur / visiteur est à indiquer dans le tableau. 
</t>
    </r>
    <r>
      <rPr>
        <sz val="10"/>
        <color rgb="FFFF0000"/>
        <rFont val="Arial"/>
        <family val="2"/>
      </rPr>
      <t xml:space="preserve">Il existe cependant une règle particulière pour le covoiturage : </t>
    </r>
    <r>
      <rPr>
        <sz val="10"/>
        <color theme="1"/>
        <rFont val="Arial"/>
        <family val="2"/>
      </rPr>
      <t xml:space="preserve">
-  Pour le covoiturage, vous pouvez indiquer le nombre de personnes compris dans les voitures. Attention à ne pas faire de double compte, si 2 personnes vous disent qu'elles viennent en covoiturage, et que dans la voiture se trouve 2 personnes. Il ne faut mettre qu'une seule fois les kilomètres parcourues. </t>
    </r>
  </si>
  <si>
    <t>Année de construction (aaaa)</t>
  </si>
  <si>
    <r>
      <t xml:space="preserve">Source : moyenne 
https://librairie.ademe.fr/dechets-economie-circulaire/5241-evaluation-de-l-impact-environnemental-d-un-ensemble-de-produits-reconditionnes.html
</t>
    </r>
    <r>
      <rPr>
        <i/>
        <sz val="10"/>
        <color rgb="FFFF0000"/>
        <rFont val="Calibri"/>
        <family val="2"/>
        <scheme val="minor"/>
      </rPr>
      <t xml:space="preserve">Nb : Si les chiffres sont à 0% d'émissions retirées, c'est que les études sur le sujet n'existe pas. Par prudence, notre modélisation ne prendra pas en compte le gain positif de choisir du reconditionné pour ces équipements (bien que le gain est réel !). Nous gardons l'impact standard de fabrication d'un équipement par manque de données. </t>
    </r>
  </si>
  <si>
    <t>Année d'acquisition (aaaa)</t>
  </si>
  <si>
    <t>Version 11 - Mise à jour en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</si>
</sst>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0\ &quot;€&quot;;[Red]\-#,##0\ &quot;€&quot;"/>
    <numFmt numFmtId="44" formatCode="_-* #,##0.00\ &quot;€&quot;_-;\-* #,##0.00\ &quot;€&quot;_-;_-* &quot;-&quot;??\ &quot;€&quot;_-;_-@_-"/>
    <numFmt numFmtId="43" formatCode="_-* #,##0.00\ _€_-;\-* #,##0.00\ _€_-;_-* &quot;-&quot;??\ _€_-;_-@_-"/>
    <numFmt numFmtId="164" formatCode="_-* #,##0.00_-;\-* #,##0.00_-;_-* &quot;-&quot;??_-;_-@_-"/>
    <numFmt numFmtId="165" formatCode="_-* #,##0_-;\-* #,##0_-;_-* &quot;-&quot;??_-;_-@_-"/>
    <numFmt numFmtId="166" formatCode="_-* #,##0.000_-;\-* #,##0.000_-;_-* &quot;-&quot;??_-;_-@_-"/>
    <numFmt numFmtId="167" formatCode="_-* #,##0.0000_-;\-* #,##0.0000_-;_-* &quot;-&quot;??_-;_-@_-"/>
    <numFmt numFmtId="168" formatCode="0.00;\-0.00;&quot;-&quot;;&quot;[&quot;@&quot;]&quot;"/>
    <numFmt numFmtId="169" formatCode="General\ &quot;tCO2e&quot;"/>
    <numFmt numFmtId="170" formatCode="_-* #,##0.00000_-;\-* #,##0.00000_-;_-* &quot;-&quot;??_-;_-@_-"/>
    <numFmt numFmtId="171" formatCode="0.0%"/>
    <numFmt numFmtId="172" formatCode="_-* #,##0.0_-;\-* #,##0.0_-;_-* &quot;-&quot;??_-;_-@_-"/>
    <numFmt numFmtId="173" formatCode="General\ &quot;g - valeur par défaut&quot;"/>
    <numFmt numFmtId="174" formatCode="_-* #,##0.000\ _€_-;\-* #,##0.000\ _€_-;_-* &quot;-&quot;??\ _€_-;_-@_-"/>
    <numFmt numFmtId="175" formatCode="_-* #,##0.0000000_-;\-* #,##0.0000000_-;_-* &quot;-&quot;??_-;_-@_-"/>
    <numFmt numFmtId="176" formatCode="_-* #,##0.00000000_-;\-* #,##0.00000000_-;_-* &quot;-&quot;??_-;_-@_-"/>
    <numFmt numFmtId="177" formatCode=".##&quot; tCO2e&quot;"/>
    <numFmt numFmtId="178" formatCode="[=0]&quot;0 tCO2e&quot;;[&lt;1]0.##&quot; tCO2e&quot;;#.##&quot; tCO2e&quot;"/>
  </numFmts>
  <fonts count="118">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Arial Nova Light"/>
      <family val="2"/>
    </font>
    <font>
      <b/>
      <sz val="11"/>
      <color theme="1"/>
      <name val="Arial Nova Light"/>
      <family val="2"/>
    </font>
    <font>
      <i/>
      <sz val="11"/>
      <color theme="1"/>
      <name val="Arial Nova Light"/>
      <family val="2"/>
    </font>
    <font>
      <sz val="8"/>
      <name val="Calibri"/>
      <family val="2"/>
      <scheme val="minor"/>
    </font>
    <font>
      <b/>
      <sz val="11"/>
      <color theme="0"/>
      <name val="Arial Nova Light"/>
      <family val="2"/>
    </font>
    <font>
      <u/>
      <sz val="11"/>
      <color theme="10"/>
      <name val="Calibri"/>
      <family val="2"/>
      <scheme val="minor"/>
    </font>
    <font>
      <sz val="11"/>
      <color theme="1"/>
      <name val="Arial"/>
      <family val="2"/>
    </font>
    <font>
      <sz val="11"/>
      <color theme="1"/>
      <name val="Bahnschrift"/>
      <family val="2"/>
    </font>
    <font>
      <b/>
      <sz val="18"/>
      <color theme="1" tint="0.249977111117893"/>
      <name val="Bahnschrift"/>
      <family val="2"/>
    </font>
    <font>
      <sz val="16"/>
      <color theme="1"/>
      <name val="Bahnschrift"/>
      <family val="2"/>
    </font>
    <font>
      <sz val="16"/>
      <color theme="1" tint="0.249977111117893"/>
      <name val="Bahnschrift"/>
      <family val="2"/>
    </font>
    <font>
      <b/>
      <sz val="16"/>
      <color theme="0"/>
      <name val="Bahnschrift"/>
      <family val="2"/>
    </font>
    <font>
      <sz val="15"/>
      <color theme="1" tint="0.249977111117893"/>
      <name val="Bahnschrift"/>
      <family val="2"/>
    </font>
    <font>
      <sz val="16"/>
      <color theme="0"/>
      <name val="Bahnschrift"/>
      <family val="2"/>
    </font>
    <font>
      <sz val="18"/>
      <color theme="1"/>
      <name val="Bahnschrift"/>
      <family val="2"/>
    </font>
    <font>
      <b/>
      <sz val="18"/>
      <color rgb="FF3382B9"/>
      <name val="Bahnschrift"/>
      <family val="2"/>
    </font>
    <font>
      <b/>
      <sz val="16"/>
      <color theme="9"/>
      <name val="Bahnschrift"/>
      <family val="2"/>
    </font>
    <font>
      <b/>
      <sz val="12"/>
      <color theme="1" tint="0.249977111117893"/>
      <name val="Bahnschrift"/>
      <family val="2"/>
    </font>
    <font>
      <sz val="11"/>
      <color theme="1" tint="0.249977111117893"/>
      <name val="Bahnschrift"/>
      <family val="2"/>
    </font>
    <font>
      <sz val="10"/>
      <color theme="1" tint="0.249977111117893"/>
      <name val="Bahnschrift"/>
      <family val="2"/>
    </font>
    <font>
      <sz val="9"/>
      <color theme="1" tint="0.249977111117893"/>
      <name val="Bahnschrift"/>
      <family val="2"/>
    </font>
    <font>
      <i/>
      <sz val="9"/>
      <color theme="1" tint="0.249977111117893"/>
      <name val="Bahnschrift"/>
      <family val="2"/>
    </font>
    <font>
      <sz val="10"/>
      <color theme="1"/>
      <name val="Bahnschrift"/>
      <family val="2"/>
    </font>
    <font>
      <i/>
      <sz val="9"/>
      <color theme="1" tint="0.499984740745262"/>
      <name val="Bahnschrift"/>
      <family val="2"/>
    </font>
    <font>
      <vertAlign val="subscript"/>
      <sz val="10"/>
      <color theme="1"/>
      <name val="Bahnschrift"/>
      <family val="2"/>
    </font>
    <font>
      <sz val="9"/>
      <color theme="0" tint="-4.9989318521683403E-2"/>
      <name val="Bahnschrift"/>
      <family val="2"/>
    </font>
    <font>
      <sz val="10"/>
      <color theme="1"/>
      <name val="Wingdings"/>
      <charset val="2"/>
    </font>
    <font>
      <sz val="10"/>
      <color theme="9"/>
      <name val="Wingdings"/>
      <charset val="2"/>
    </font>
    <font>
      <sz val="10"/>
      <color rgb="FFFF0000"/>
      <name val="Wingdings"/>
      <charset val="2"/>
    </font>
    <font>
      <b/>
      <vertAlign val="subscript"/>
      <sz val="16"/>
      <color theme="9"/>
      <name val="Bahnschrift"/>
      <family val="2"/>
    </font>
    <font>
      <b/>
      <vertAlign val="subscript"/>
      <sz val="16"/>
      <color theme="0"/>
      <name val="Bahnschrift"/>
      <family val="2"/>
    </font>
    <font>
      <b/>
      <sz val="10"/>
      <color theme="1" tint="0.249977111117893"/>
      <name val="Bahnschrift"/>
      <family val="2"/>
    </font>
    <font>
      <b/>
      <sz val="11"/>
      <color theme="1"/>
      <name val="Arial Nova Light"/>
      <family val="2"/>
    </font>
    <font>
      <i/>
      <sz val="8"/>
      <color theme="1"/>
      <name val="Bahnschrift"/>
      <family val="2"/>
    </font>
    <font>
      <b/>
      <sz val="10"/>
      <color theme="1"/>
      <name val="Bahnschrift"/>
      <family val="2"/>
    </font>
    <font>
      <sz val="11"/>
      <color theme="1"/>
      <name val="Arial Nova Light"/>
      <family val="2"/>
    </font>
    <font>
      <b/>
      <sz val="11"/>
      <color theme="0"/>
      <name val="Calibri"/>
      <family val="2"/>
      <scheme val="minor"/>
    </font>
    <font>
      <b/>
      <sz val="11"/>
      <color theme="1"/>
      <name val="Calibri"/>
      <family val="2"/>
      <scheme val="minor"/>
    </font>
    <font>
      <sz val="11"/>
      <color rgb="FFFFFFFF"/>
      <name val="Calibri"/>
      <family val="2"/>
      <scheme val="minor"/>
    </font>
    <font>
      <b/>
      <sz val="12"/>
      <color theme="1"/>
      <name val="Calibri"/>
      <family val="2"/>
      <scheme val="minor"/>
    </font>
    <font>
      <sz val="12"/>
      <color theme="1"/>
      <name val="Calibri"/>
      <family val="2"/>
      <scheme val="minor"/>
    </font>
    <font>
      <b/>
      <sz val="10"/>
      <color theme="0"/>
      <name val="Arial Nova Light"/>
      <family val="2"/>
    </font>
    <font>
      <sz val="7"/>
      <color rgb="FFFFFFFF"/>
      <name val="Calibri"/>
      <family val="2"/>
      <scheme val="minor"/>
    </font>
    <font>
      <sz val="11"/>
      <color rgb="FF006100"/>
      <name val="Calibri"/>
      <family val="2"/>
      <scheme val="minor"/>
    </font>
    <font>
      <sz val="11"/>
      <color rgb="FF9C5700"/>
      <name val="Calibri"/>
      <family val="2"/>
      <scheme val="minor"/>
    </font>
    <font>
      <sz val="10"/>
      <name val="MS Sans Serif"/>
      <family val="2"/>
    </font>
    <font>
      <b/>
      <sz val="10"/>
      <color theme="0"/>
      <name val="Calibri"/>
      <family val="2"/>
      <scheme val="minor"/>
    </font>
    <font>
      <b/>
      <sz val="16"/>
      <color theme="0"/>
      <name val="Arial"/>
      <family val="2"/>
    </font>
    <font>
      <i/>
      <sz val="11"/>
      <color rgb="FF002060"/>
      <name val="Calibri"/>
      <family val="2"/>
      <scheme val="minor"/>
    </font>
    <font>
      <sz val="10"/>
      <color theme="1"/>
      <name val="Arial"/>
      <family val="2"/>
    </font>
    <font>
      <sz val="10"/>
      <color rgb="FF000000"/>
      <name val="Arial"/>
      <family val="2"/>
    </font>
    <font>
      <b/>
      <sz val="10"/>
      <color rgb="FF000000"/>
      <name val="Arial"/>
      <family val="2"/>
    </font>
    <font>
      <b/>
      <sz val="12"/>
      <color theme="0"/>
      <name val="Bahnschrift"/>
      <family val="2"/>
    </font>
    <font>
      <sz val="12"/>
      <color theme="1"/>
      <name val="Bahnschrift"/>
      <family val="2"/>
    </font>
    <font>
      <sz val="12"/>
      <color theme="1" tint="0.249977111117893"/>
      <name val="Bahnschrift"/>
      <family val="2"/>
    </font>
    <font>
      <sz val="10"/>
      <color theme="1"/>
      <name val="Arial Nova Light"/>
      <family val="2"/>
    </font>
    <font>
      <sz val="10"/>
      <color theme="1"/>
      <name val="Calibri"/>
      <family val="2"/>
      <scheme val="minor"/>
    </font>
    <font>
      <b/>
      <sz val="16"/>
      <color theme="0"/>
      <name val="Arial"/>
      <family val="2"/>
    </font>
    <font>
      <b/>
      <sz val="14"/>
      <color theme="0"/>
      <name val="Arial"/>
      <family val="2"/>
    </font>
    <font>
      <sz val="10"/>
      <color theme="1"/>
      <name val="Arial"/>
      <family val="2"/>
    </font>
    <font>
      <b/>
      <sz val="10"/>
      <color theme="1"/>
      <name val="Arial"/>
      <family val="2"/>
    </font>
    <font>
      <b/>
      <i/>
      <sz val="10"/>
      <color theme="1"/>
      <name val="Arial"/>
      <family val="2"/>
    </font>
    <font>
      <i/>
      <sz val="10"/>
      <color theme="1"/>
      <name val="Arial"/>
      <family val="2"/>
    </font>
    <font>
      <sz val="14"/>
      <color rgb="FF002060"/>
      <name val="Arial"/>
      <family val="2"/>
    </font>
    <font>
      <u/>
      <sz val="11"/>
      <color theme="4"/>
      <name val="Calibri"/>
      <family val="2"/>
      <scheme val="minor"/>
    </font>
    <font>
      <i/>
      <sz val="11"/>
      <color theme="1"/>
      <name val="Calibri"/>
      <family val="2"/>
      <scheme val="minor"/>
    </font>
    <font>
      <i/>
      <sz val="10"/>
      <color theme="1"/>
      <name val="Calibri"/>
      <family val="2"/>
      <scheme val="minor"/>
    </font>
    <font>
      <i/>
      <sz val="9"/>
      <color theme="1"/>
      <name val="Arial"/>
      <family val="2"/>
    </font>
    <font>
      <b/>
      <sz val="10"/>
      <color theme="0"/>
      <name val="Arial"/>
      <family val="2"/>
    </font>
    <font>
      <sz val="10"/>
      <color theme="0"/>
      <name val="Arial"/>
      <family val="2"/>
    </font>
    <font>
      <b/>
      <u/>
      <sz val="16"/>
      <color rgb="FFFFFFFF"/>
      <name val="Calibri"/>
      <family val="2"/>
      <scheme val="minor"/>
    </font>
    <font>
      <sz val="10"/>
      <color rgb="FFFF0000"/>
      <name val="Arial"/>
      <family val="2"/>
    </font>
    <font>
      <b/>
      <sz val="10"/>
      <color theme="4"/>
      <name val="Arial"/>
      <family val="2"/>
    </font>
    <font>
      <sz val="10"/>
      <name val="Arial"/>
      <family val="2"/>
    </font>
    <font>
      <b/>
      <sz val="11"/>
      <color theme="4"/>
      <name val="Arial"/>
      <family val="2"/>
    </font>
    <font>
      <b/>
      <sz val="11"/>
      <color theme="2" tint="-0.499984740745262"/>
      <name val="Calibri"/>
      <family val="2"/>
      <scheme val="minor"/>
    </font>
    <font>
      <i/>
      <sz val="11"/>
      <color theme="0"/>
      <name val="Bahnschrift"/>
      <family val="2"/>
    </font>
    <font>
      <b/>
      <sz val="11"/>
      <name val="Arial Nova Light"/>
      <family val="2"/>
    </font>
    <font>
      <sz val="11"/>
      <name val="Arial Nova Light"/>
      <family val="2"/>
    </font>
    <font>
      <sz val="11"/>
      <color theme="4"/>
      <name val="Arial Nova Light"/>
      <family val="2"/>
    </font>
    <font>
      <sz val="11"/>
      <color rgb="FFFF0000"/>
      <name val="Calibri"/>
      <family val="2"/>
      <scheme val="minor"/>
    </font>
    <font>
      <sz val="10"/>
      <color rgb="FFFF0000"/>
      <name val="Calibri"/>
      <family val="2"/>
      <scheme val="minor"/>
    </font>
    <font>
      <b/>
      <sz val="10"/>
      <color theme="3"/>
      <name val="Arial"/>
      <family val="2"/>
    </font>
    <font>
      <sz val="8"/>
      <color theme="1" tint="0.249977111117893"/>
      <name val="Calibri"/>
      <family val="2"/>
      <scheme val="minor"/>
    </font>
    <font>
      <sz val="12"/>
      <color theme="1" tint="0.249977111117893"/>
      <name val="Calibri"/>
      <family val="2"/>
      <scheme val="minor"/>
    </font>
    <font>
      <i/>
      <sz val="9"/>
      <color theme="1"/>
      <name val="Calibri"/>
      <family val="2"/>
      <scheme val="minor"/>
    </font>
    <font>
      <b/>
      <sz val="10"/>
      <name val="Arial"/>
      <family val="2"/>
    </font>
    <font>
      <sz val="11"/>
      <name val="Calibri"/>
      <family val="2"/>
      <scheme val="minor"/>
    </font>
    <font>
      <i/>
      <u/>
      <sz val="11"/>
      <color theme="4"/>
      <name val="Arial Nova Light"/>
      <family val="2"/>
    </font>
    <font>
      <sz val="11"/>
      <color rgb="FFFF0000"/>
      <name val="Arial Nova Light"/>
      <family val="2"/>
    </font>
    <font>
      <b/>
      <sz val="8"/>
      <name val="Calibri"/>
      <family val="2"/>
      <scheme val="minor"/>
    </font>
    <font>
      <sz val="8"/>
      <color theme="1"/>
      <name val="Arial Nova Light"/>
      <family val="2"/>
    </font>
    <font>
      <sz val="8"/>
      <color theme="1"/>
      <name val="Calibri"/>
      <family val="2"/>
      <scheme val="minor"/>
    </font>
    <font>
      <sz val="8"/>
      <color theme="1"/>
      <name val="Arial"/>
      <family val="2"/>
    </font>
    <font>
      <sz val="10"/>
      <color theme="9"/>
      <name val="Arial"/>
      <family val="2"/>
    </font>
    <font>
      <b/>
      <sz val="10"/>
      <color rgb="FF004899"/>
      <name val="Marianne"/>
    </font>
    <font>
      <u/>
      <sz val="11"/>
      <name val="Arial Nova Light"/>
      <family val="2"/>
    </font>
    <font>
      <b/>
      <sz val="8"/>
      <name val="Arial"/>
      <family val="2"/>
    </font>
    <font>
      <b/>
      <u/>
      <sz val="11"/>
      <color theme="9"/>
      <name val="Calibri"/>
      <family val="2"/>
      <scheme val="minor"/>
    </font>
    <font>
      <b/>
      <sz val="11"/>
      <color theme="9"/>
      <name val="Calibri"/>
      <family val="2"/>
      <scheme val="minor"/>
    </font>
    <font>
      <sz val="11"/>
      <color rgb="FF000000"/>
      <name val="Calibri"/>
      <family val="2"/>
      <scheme val="minor"/>
    </font>
    <font>
      <i/>
      <sz val="11"/>
      <color rgb="FFFF0000"/>
      <name val="Calibri"/>
      <family val="2"/>
      <scheme val="minor"/>
    </font>
    <font>
      <sz val="11"/>
      <color theme="9"/>
      <name val="Calibri"/>
      <family val="2"/>
      <scheme val="minor"/>
    </font>
    <font>
      <sz val="13.5"/>
      <color theme="1"/>
      <name val="Marianne"/>
    </font>
    <font>
      <b/>
      <u/>
      <sz val="10"/>
      <color theme="9"/>
      <name val="Arial"/>
      <family val="2"/>
    </font>
    <font>
      <sz val="11"/>
      <color theme="1"/>
      <name val="Calibri"/>
      <family val="2"/>
    </font>
    <font>
      <sz val="11"/>
      <color theme="1"/>
      <name val="Calibri Light"/>
      <family val="2"/>
      <scheme val="major"/>
    </font>
    <font>
      <u/>
      <sz val="11"/>
      <color theme="10"/>
      <name val="Calibri Light"/>
      <family val="2"/>
      <scheme val="major"/>
    </font>
    <font>
      <i/>
      <sz val="10"/>
      <color rgb="FFFF0000"/>
      <name val="Arial"/>
      <family val="2"/>
    </font>
    <font>
      <i/>
      <sz val="11"/>
      <name val="Calibri"/>
      <family val="2"/>
      <scheme val="minor"/>
    </font>
    <font>
      <i/>
      <sz val="10"/>
      <name val="Arial"/>
      <family val="2"/>
    </font>
    <font>
      <i/>
      <sz val="10"/>
      <color rgb="FFFF0000"/>
      <name val="Calibri"/>
      <family val="2"/>
      <scheme val="minor"/>
    </font>
  </fonts>
  <fills count="41">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FF66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40A600"/>
        <bgColor indexed="64"/>
      </patternFill>
    </fill>
    <fill>
      <patternFill patternType="solid">
        <fgColor rgb="FFF8CBAD"/>
        <bgColor indexed="64"/>
      </patternFill>
    </fill>
    <fill>
      <patternFill patternType="solid">
        <fgColor rgb="FFDAFFC4"/>
        <bgColor indexed="64"/>
      </patternFill>
    </fill>
    <fill>
      <patternFill patternType="solid">
        <fgColor rgb="FF40A600"/>
        <bgColor theme="6"/>
      </patternFill>
    </fill>
    <fill>
      <patternFill patternType="solid">
        <fgColor rgb="FFF7CAAC"/>
        <bgColor indexed="64"/>
      </patternFill>
    </fill>
    <fill>
      <patternFill patternType="solid">
        <fgColor rgb="FFC5E0B3"/>
        <bgColor indexed="64"/>
      </patternFill>
    </fill>
    <fill>
      <patternFill patternType="solid">
        <fgColor rgb="FFFFFFFF"/>
        <bgColor indexed="64"/>
      </patternFill>
    </fill>
    <fill>
      <patternFill patternType="solid">
        <fgColor rgb="FFFEF2CB"/>
        <bgColor indexed="64"/>
      </patternFill>
    </fill>
    <fill>
      <patternFill patternType="solid">
        <fgColor rgb="FFFBBC04"/>
        <bgColor indexed="64"/>
      </patternFill>
    </fill>
    <fill>
      <patternFill patternType="solid">
        <fgColor rgb="FFC6EFCE"/>
      </patternFill>
    </fill>
    <fill>
      <patternFill patternType="solid">
        <fgColor rgb="FFFFEB9C"/>
      </patternFill>
    </fill>
    <fill>
      <patternFill patternType="solid">
        <fgColor theme="4" tint="0.79998168889431442"/>
        <bgColor theme="4" tint="0.79998168889431442"/>
      </patternFill>
    </fill>
    <fill>
      <patternFill patternType="solid">
        <fgColor theme="4"/>
        <bgColor theme="4"/>
      </patternFill>
    </fill>
    <fill>
      <patternFill patternType="solid">
        <fgColor rgb="FF002060"/>
        <bgColor indexed="64"/>
      </patternFill>
    </fill>
    <fill>
      <patternFill patternType="solid">
        <fgColor rgb="FFE7EFFF"/>
        <bgColor indexed="64"/>
      </patternFill>
    </fill>
    <fill>
      <patternFill patternType="solid">
        <fgColor rgb="FFFFE699"/>
        <bgColor indexed="64"/>
      </patternFill>
    </fill>
    <fill>
      <patternFill patternType="solid">
        <fgColor rgb="FFE7E6E6"/>
        <bgColor indexed="64"/>
      </patternFill>
    </fill>
    <fill>
      <patternFill patternType="solid">
        <fgColor rgb="FFE2EFDA"/>
        <bgColor indexed="64"/>
      </patternFill>
    </fill>
    <fill>
      <patternFill patternType="solid">
        <fgColor rgb="FFFCE4D6"/>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5"/>
        <bgColor indexed="64"/>
      </patternFill>
    </fill>
    <fill>
      <patternFill patternType="solid">
        <fgColor theme="6" tint="0.79998168889431442"/>
        <bgColor indexed="64"/>
      </patternFill>
    </fill>
    <fill>
      <patternFill patternType="solid">
        <fgColor rgb="FFFFF3CD"/>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bgColor indexed="64"/>
      </patternFill>
    </fill>
    <fill>
      <patternFill patternType="solid">
        <fgColor theme="6"/>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0"/>
      </top>
      <bottom style="medium">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theme="1" tint="0.24994659260841701"/>
      </right>
      <top/>
      <bottom/>
      <diagonal/>
    </border>
    <border>
      <left style="thin">
        <color theme="1" tint="0.14996795556505021"/>
      </left>
      <right/>
      <top/>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FFC000"/>
      </left>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theme="6"/>
      </left>
      <right/>
      <top style="thin">
        <color theme="6"/>
      </top>
      <bottom/>
      <diagonal/>
    </border>
    <border>
      <left/>
      <right/>
      <top style="thin">
        <color theme="6"/>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
      <left/>
      <right/>
      <top/>
      <bottom style="medium">
        <color rgb="FFCCCCCC"/>
      </bottom>
      <diagonal/>
    </border>
    <border>
      <left style="thin">
        <color indexed="64"/>
      </left>
      <right style="thin">
        <color theme="4" tint="0.39997558519241921"/>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right/>
      <top style="medium">
        <color rgb="FF002060"/>
      </top>
      <bottom style="medium">
        <color rgb="FF002060"/>
      </bottom>
      <diagonal/>
    </border>
    <border>
      <left/>
      <right style="thin">
        <color indexed="64"/>
      </right>
      <top/>
      <bottom/>
      <diagonal/>
    </border>
    <border>
      <left style="medium">
        <color indexed="64"/>
      </left>
      <right/>
      <top style="medium">
        <color indexed="64"/>
      </top>
      <bottom style="medium">
        <color rgb="FF002060"/>
      </bottom>
      <diagonal/>
    </border>
    <border>
      <left/>
      <right/>
      <top style="medium">
        <color indexed="64"/>
      </top>
      <bottom style="medium">
        <color rgb="FF002060"/>
      </bottom>
      <diagonal/>
    </border>
    <border>
      <left/>
      <right style="medium">
        <color indexed="64"/>
      </right>
      <top style="medium">
        <color indexed="64"/>
      </top>
      <bottom style="medium">
        <color rgb="FF00206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2060"/>
      </left>
      <right style="medium">
        <color rgb="FF002060"/>
      </right>
      <top style="medium">
        <color indexed="64"/>
      </top>
      <bottom style="medium">
        <color rgb="FF002060"/>
      </bottom>
      <diagonal/>
    </border>
    <border>
      <left/>
      <right style="medium">
        <color indexed="64"/>
      </right>
      <top style="medium">
        <color indexed="64"/>
      </top>
      <bottom/>
      <diagonal/>
    </border>
    <border>
      <left style="medium">
        <color rgb="FFCCCCCC"/>
      </left>
      <right style="medium">
        <color rgb="FFCCCCCC"/>
      </right>
      <top/>
      <bottom style="medium">
        <color rgb="FFCCCCCC"/>
      </bottom>
      <diagonal/>
    </border>
    <border>
      <left style="medium">
        <color indexed="64"/>
      </left>
      <right/>
      <top style="medium">
        <color indexed="64"/>
      </top>
      <bottom style="medium">
        <color rgb="FFCCCCCC"/>
      </bottom>
      <diagonal/>
    </border>
    <border>
      <left/>
      <right/>
      <top style="medium">
        <color indexed="64"/>
      </top>
      <bottom style="medium">
        <color rgb="FFCCCCCC"/>
      </bottom>
      <diagonal/>
    </border>
    <border>
      <left/>
      <right style="medium">
        <color indexed="64"/>
      </right>
      <top style="medium">
        <color indexed="64"/>
      </top>
      <bottom style="medium">
        <color rgb="FFCCCCCC"/>
      </bottom>
      <diagonal/>
    </border>
    <border>
      <left style="medium">
        <color indexed="64"/>
      </left>
      <right/>
      <top/>
      <bottom style="medium">
        <color rgb="FFCCCCCC"/>
      </bottom>
      <diagonal/>
    </border>
    <border>
      <left/>
      <right style="medium">
        <color indexed="64"/>
      </right>
      <top/>
      <bottom style="medium">
        <color rgb="FFCCCCCC"/>
      </bottom>
      <diagonal/>
    </border>
    <border>
      <left style="medium">
        <color indexed="64"/>
      </left>
      <right/>
      <top style="medium">
        <color rgb="FFCCCCCC"/>
      </top>
      <bottom style="medium">
        <color rgb="FFCCCCCC"/>
      </bottom>
      <diagonal/>
    </border>
    <border>
      <left style="medium">
        <color rgb="FFCCCCCC"/>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rgb="FFCCCCCC"/>
      </bottom>
      <diagonal/>
    </border>
    <border>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indexed="64"/>
      </bottom>
      <diagonal/>
    </border>
    <border>
      <left style="medium">
        <color rgb="FFCCCCCC"/>
      </left>
      <right style="medium">
        <color rgb="FFCCCCCC"/>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2" tint="-0.249977111117893"/>
      </left>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style="medium">
        <color indexed="64"/>
      </left>
      <right/>
      <top style="medium">
        <color rgb="FF002060"/>
      </top>
      <bottom/>
      <diagonal/>
    </border>
    <border>
      <left/>
      <right style="medium">
        <color indexed="64"/>
      </right>
      <top style="medium">
        <color rgb="FF002060"/>
      </top>
      <bottom/>
      <diagonal/>
    </border>
    <border>
      <left/>
      <right style="medium">
        <color indexed="64"/>
      </right>
      <top style="medium">
        <color theme="2" tint="-0.249977111117893"/>
      </top>
      <bottom/>
      <diagonal/>
    </border>
    <border>
      <left/>
      <right style="medium">
        <color indexed="64"/>
      </right>
      <top/>
      <bottom style="medium">
        <color theme="2" tint="-0.24997711111789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2060"/>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0" fontId="51" fillId="0" borderId="0"/>
    <xf numFmtId="0" fontId="50" fillId="18" borderId="0"/>
    <xf numFmtId="0" fontId="49" fillId="17" borderId="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cellStyleXfs>
  <cellXfs count="780">
    <xf numFmtId="0" fontId="0" fillId="0" borderId="0" xfId="0"/>
    <xf numFmtId="167" fontId="6" fillId="0" borderId="1" xfId="1" applyNumberFormat="1" applyFont="1" applyFill="1" applyBorder="1" applyAlignment="1">
      <alignment vertical="center"/>
    </xf>
    <xf numFmtId="164" fontId="6" fillId="0" borderId="1" xfId="1" applyFont="1" applyFill="1" applyBorder="1" applyAlignment="1">
      <alignment vertical="center"/>
    </xf>
    <xf numFmtId="166" fontId="6" fillId="0" borderId="1" xfId="1" applyNumberFormat="1" applyFont="1" applyFill="1" applyBorder="1" applyAlignment="1">
      <alignment vertical="center"/>
    </xf>
    <xf numFmtId="0" fontId="6" fillId="0" borderId="0" xfId="0" applyFont="1"/>
    <xf numFmtId="0" fontId="6" fillId="0" borderId="0" xfId="0" applyFont="1" applyAlignment="1">
      <alignment horizontal="center" vertical="center"/>
    </xf>
    <xf numFmtId="0" fontId="13" fillId="0" borderId="0" xfId="0" applyFont="1" applyAlignment="1">
      <alignment vertical="center" wrapText="1"/>
    </xf>
    <xf numFmtId="0" fontId="13" fillId="0" borderId="0" xfId="0" applyFont="1"/>
    <xf numFmtId="0" fontId="13" fillId="0" borderId="14" xfId="0" applyFont="1" applyBorder="1" applyAlignment="1">
      <alignment vertical="center" wrapText="1"/>
    </xf>
    <xf numFmtId="0" fontId="15" fillId="0" borderId="0" xfId="0" applyFont="1" applyAlignment="1">
      <alignment vertical="top" wrapText="1"/>
    </xf>
    <xf numFmtId="0" fontId="16" fillId="0" borderId="0" xfId="0" applyFont="1" applyAlignment="1">
      <alignment vertical="top" wrapText="1"/>
    </xf>
    <xf numFmtId="0" fontId="14" fillId="0" borderId="0" xfId="0" applyFont="1" applyAlignment="1">
      <alignment vertical="center" wrapText="1"/>
    </xf>
    <xf numFmtId="0" fontId="16" fillId="0" borderId="0" xfId="0" applyFont="1" applyAlignment="1">
      <alignment vertical="center" wrapText="1"/>
    </xf>
    <xf numFmtId="0" fontId="18" fillId="0" borderId="15" xfId="0" applyFont="1" applyBorder="1" applyAlignment="1">
      <alignment vertical="top" wrapText="1"/>
    </xf>
    <xf numFmtId="0" fontId="18" fillId="0" borderId="0" xfId="0" applyFont="1" applyAlignment="1">
      <alignment vertical="top" wrapText="1"/>
    </xf>
    <xf numFmtId="0" fontId="13" fillId="4" borderId="0" xfId="0" applyFont="1" applyFill="1" applyAlignment="1">
      <alignment vertical="center" wrapText="1"/>
    </xf>
    <xf numFmtId="0" fontId="13" fillId="4" borderId="0" xfId="0" applyFont="1" applyFill="1"/>
    <xf numFmtId="0" fontId="13" fillId="7" borderId="0" xfId="0" applyFont="1" applyFill="1"/>
    <xf numFmtId="0" fontId="21" fillId="0" borderId="0" xfId="0" applyFont="1" applyAlignment="1">
      <alignment vertical="center" wrapText="1"/>
    </xf>
    <xf numFmtId="0" fontId="20" fillId="7" borderId="0" xfId="0" applyFont="1" applyFill="1" applyAlignment="1">
      <alignment vertical="center" wrapText="1"/>
    </xf>
    <xf numFmtId="0" fontId="23" fillId="0" borderId="0" xfId="0" applyFont="1" applyAlignment="1">
      <alignment vertical="center" wrapText="1"/>
    </xf>
    <xf numFmtId="0" fontId="28" fillId="0" borderId="0" xfId="0" applyFont="1"/>
    <xf numFmtId="0" fontId="28"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13" fillId="0" borderId="14" xfId="0" applyFont="1" applyBorder="1" applyAlignment="1">
      <alignment horizontal="left" vertical="center" wrapText="1"/>
    </xf>
    <xf numFmtId="0" fontId="18" fillId="0" borderId="15" xfId="0" applyFont="1" applyBorder="1" applyAlignment="1">
      <alignment horizontal="left" vertical="center" wrapText="1"/>
    </xf>
    <xf numFmtId="0" fontId="13" fillId="0" borderId="0" xfId="0" applyFont="1" applyAlignment="1">
      <alignment horizontal="left" vertical="center"/>
    </xf>
    <xf numFmtId="0" fontId="18"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vertical="center" wrapText="1"/>
    </xf>
    <xf numFmtId="0" fontId="25" fillId="0" borderId="0" xfId="0" applyFont="1" applyAlignment="1">
      <alignment horizontal="left" vertical="top" wrapText="1"/>
    </xf>
    <xf numFmtId="0" fontId="37" fillId="0" borderId="0" xfId="0" applyFont="1" applyAlignment="1">
      <alignment vertical="center" wrapText="1"/>
    </xf>
    <xf numFmtId="0" fontId="39" fillId="0" borderId="0" xfId="0" applyFont="1"/>
    <xf numFmtId="0" fontId="40" fillId="0" borderId="0" xfId="0" applyFont="1"/>
    <xf numFmtId="0" fontId="0" fillId="0" borderId="1" xfId="0" applyBorder="1" applyAlignment="1">
      <alignment horizontal="left"/>
    </xf>
    <xf numFmtId="168" fontId="0" fillId="0" borderId="1" xfId="0" applyNumberFormat="1" applyBorder="1"/>
    <xf numFmtId="168" fontId="0" fillId="0" borderId="28" xfId="0" applyNumberFormat="1" applyBorder="1"/>
    <xf numFmtId="168" fontId="0" fillId="0" borderId="29" xfId="0" applyNumberFormat="1" applyBorder="1"/>
    <xf numFmtId="0" fontId="0" fillId="6" borderId="1" xfId="0" applyFill="1" applyBorder="1" applyAlignment="1">
      <alignment horizontal="left"/>
    </xf>
    <xf numFmtId="168" fontId="0" fillId="6" borderId="1" xfId="0" applyNumberFormat="1" applyFill="1" applyBorder="1"/>
    <xf numFmtId="168" fontId="0" fillId="6" borderId="28" xfId="0" applyNumberFormat="1" applyFill="1" applyBorder="1"/>
    <xf numFmtId="168" fontId="0" fillId="6" borderId="29" xfId="0" applyNumberFormat="1" applyFill="1" applyBorder="1"/>
    <xf numFmtId="0" fontId="41" fillId="0" borderId="0" xfId="0" applyFont="1" applyAlignment="1">
      <alignment horizontal="left"/>
    </xf>
    <xf numFmtId="168" fontId="41" fillId="0" borderId="0" xfId="0" applyNumberFormat="1" applyFont="1"/>
    <xf numFmtId="168" fontId="41" fillId="0" borderId="0" xfId="0" applyNumberFormat="1" applyFont="1" applyAlignment="1">
      <alignment horizontal="left"/>
    </xf>
    <xf numFmtId="0" fontId="44" fillId="8" borderId="36" xfId="0" applyFont="1" applyFill="1" applyBorder="1" applyAlignment="1">
      <alignment horizontal="center" wrapText="1"/>
    </xf>
    <xf numFmtId="0" fontId="44" fillId="8" borderId="36" xfId="0" applyFont="1" applyFill="1" applyBorder="1" applyAlignment="1">
      <alignment horizontal="center" vertical="center" wrapText="1"/>
    </xf>
    <xf numFmtId="0" fontId="0" fillId="0" borderId="36" xfId="0" applyBorder="1" applyAlignment="1">
      <alignment wrapText="1"/>
    </xf>
    <xf numFmtId="0" fontId="0" fillId="0" borderId="36" xfId="0" applyBorder="1" applyAlignment="1">
      <alignment horizontal="center" vertical="center" wrapText="1"/>
    </xf>
    <xf numFmtId="0" fontId="0" fillId="10" borderId="36" xfId="0" applyFill="1" applyBorder="1" applyAlignment="1">
      <alignment wrapText="1"/>
    </xf>
    <xf numFmtId="0" fontId="0" fillId="10" borderId="36" xfId="0" applyFill="1" applyBorder="1" applyAlignment="1">
      <alignment vertical="center" wrapText="1"/>
    </xf>
    <xf numFmtId="0" fontId="0" fillId="10" borderId="36" xfId="0" applyFill="1" applyBorder="1" applyAlignment="1">
      <alignment horizontal="center" vertical="center" wrapText="1"/>
    </xf>
    <xf numFmtId="0" fontId="43" fillId="10" borderId="36" xfId="0" applyFont="1" applyFill="1" applyBorder="1" applyAlignment="1">
      <alignment horizontal="center" vertical="center" wrapText="1"/>
    </xf>
    <xf numFmtId="0" fontId="0" fillId="0" borderId="36" xfId="0" applyBorder="1" applyAlignment="1">
      <alignment vertical="center" wrapText="1"/>
    </xf>
    <xf numFmtId="0" fontId="0" fillId="6" borderId="31" xfId="0" applyFill="1" applyBorder="1" applyAlignment="1">
      <alignment horizontal="left"/>
    </xf>
    <xf numFmtId="168" fontId="0" fillId="6" borderId="31" xfId="0" applyNumberFormat="1" applyFill="1" applyBorder="1"/>
    <xf numFmtId="168" fontId="0" fillId="6" borderId="32" xfId="0" applyNumberFormat="1" applyFill="1" applyBorder="1"/>
    <xf numFmtId="168" fontId="0" fillId="6" borderId="33" xfId="0" applyNumberFormat="1" applyFill="1" applyBorder="1"/>
    <xf numFmtId="0" fontId="10" fillId="11" borderId="34"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42" fillId="11" borderId="35" xfId="0" applyFont="1" applyFill="1" applyBorder="1" applyAlignment="1">
      <alignment horizontal="center" vertical="center" wrapText="1"/>
    </xf>
    <xf numFmtId="0" fontId="0" fillId="0" borderId="1" xfId="0" applyBorder="1"/>
    <xf numFmtId="0" fontId="0" fillId="6" borderId="1" xfId="0" applyFill="1" applyBorder="1"/>
    <xf numFmtId="0" fontId="0" fillId="6" borderId="31" xfId="0" applyFill="1" applyBorder="1"/>
    <xf numFmtId="0" fontId="6" fillId="0" borderId="1" xfId="0" applyFont="1" applyBorder="1"/>
    <xf numFmtId="0" fontId="41" fillId="0" borderId="2" xfId="0" applyFont="1" applyBorder="1" applyAlignment="1">
      <alignment horizontal="left"/>
    </xf>
    <xf numFmtId="0" fontId="0" fillId="14" borderId="36" xfId="0" applyFill="1" applyBorder="1" applyAlignment="1">
      <alignment vertical="center" wrapText="1"/>
    </xf>
    <xf numFmtId="0" fontId="0" fillId="15" borderId="36" xfId="0" applyFill="1" applyBorder="1" applyAlignment="1">
      <alignment horizontal="center" vertical="center" wrapText="1"/>
    </xf>
    <xf numFmtId="0" fontId="0" fillId="16" borderId="36" xfId="0" applyFill="1" applyBorder="1" applyAlignment="1">
      <alignment horizontal="right" wrapText="1"/>
    </xf>
    <xf numFmtId="0" fontId="43" fillId="0" borderId="36" xfId="0" applyFont="1" applyBorder="1" applyAlignment="1">
      <alignment horizontal="center" vertical="center" wrapText="1"/>
    </xf>
    <xf numFmtId="0" fontId="7" fillId="0" borderId="1" xfId="0" applyFont="1" applyBorder="1" applyAlignment="1">
      <alignment horizontal="left"/>
    </xf>
    <xf numFmtId="0" fontId="6" fillId="0" borderId="38" xfId="0" applyFont="1" applyBorder="1" applyAlignment="1">
      <alignment horizontal="left"/>
    </xf>
    <xf numFmtId="168" fontId="6" fillId="0" borderId="38" xfId="0" applyNumberFormat="1" applyFont="1" applyBorder="1" applyAlignment="1">
      <alignment horizontal="left"/>
    </xf>
    <xf numFmtId="0" fontId="0" fillId="0" borderId="2" xfId="0" applyBorder="1" applyAlignment="1">
      <alignment horizontal="right"/>
    </xf>
    <xf numFmtId="168" fontId="0" fillId="0" borderId="2" xfId="0" applyNumberFormat="1" applyBorder="1" applyAlignment="1">
      <alignment horizontal="right"/>
    </xf>
    <xf numFmtId="0" fontId="41" fillId="19" borderId="1" xfId="0" applyFont="1" applyFill="1" applyBorder="1" applyAlignment="1">
      <alignment horizontal="left"/>
    </xf>
    <xf numFmtId="0" fontId="47" fillId="20" borderId="6" xfId="0" applyFont="1" applyFill="1" applyBorder="1" applyAlignment="1">
      <alignment horizontal="center" vertical="center" wrapText="1"/>
    </xf>
    <xf numFmtId="0" fontId="52" fillId="20" borderId="6" xfId="0" applyFont="1" applyFill="1" applyBorder="1" applyAlignment="1">
      <alignment horizontal="center" vertical="center" wrapText="1"/>
    </xf>
    <xf numFmtId="0" fontId="47" fillId="20" borderId="38" xfId="0" applyFont="1" applyFill="1" applyBorder="1" applyAlignment="1">
      <alignment horizontal="center" vertical="center" wrapText="1"/>
    </xf>
    <xf numFmtId="0" fontId="7" fillId="19" borderId="6" xfId="0" applyFont="1" applyFill="1" applyBorder="1" applyAlignment="1">
      <alignment horizontal="left"/>
    </xf>
    <xf numFmtId="0" fontId="6" fillId="19" borderId="6" xfId="0" applyFont="1" applyFill="1" applyBorder="1" applyAlignment="1">
      <alignment horizontal="left"/>
    </xf>
    <xf numFmtId="168" fontId="6" fillId="19" borderId="6" xfId="0" applyNumberFormat="1" applyFont="1" applyFill="1" applyBorder="1"/>
    <xf numFmtId="0" fontId="6" fillId="19" borderId="38" xfId="0" applyFont="1" applyFill="1" applyBorder="1" applyAlignment="1">
      <alignment horizontal="left"/>
    </xf>
    <xf numFmtId="0" fontId="7" fillId="0" borderId="6" xfId="0" applyFont="1" applyBorder="1" applyAlignment="1">
      <alignment horizontal="left"/>
    </xf>
    <xf numFmtId="0" fontId="41" fillId="19" borderId="40" xfId="0" applyFont="1" applyFill="1" applyBorder="1" applyAlignment="1">
      <alignment horizontal="left"/>
    </xf>
    <xf numFmtId="168" fontId="6" fillId="19" borderId="38" xfId="0" applyNumberFormat="1" applyFont="1" applyFill="1" applyBorder="1"/>
    <xf numFmtId="168" fontId="41" fillId="19" borderId="40" xfId="0" applyNumberFormat="1" applyFont="1" applyFill="1" applyBorder="1" applyAlignment="1">
      <alignment horizontal="left"/>
    </xf>
    <xf numFmtId="168" fontId="6" fillId="19" borderId="38" xfId="0" applyNumberFormat="1" applyFont="1" applyFill="1" applyBorder="1" applyAlignment="1">
      <alignment horizontal="left"/>
    </xf>
    <xf numFmtId="0" fontId="41" fillId="19" borderId="38" xfId="0" applyFont="1" applyFill="1" applyBorder="1" applyAlignment="1">
      <alignment horizontal="left"/>
    </xf>
    <xf numFmtId="0" fontId="38" fillId="19" borderId="6" xfId="0" applyFont="1" applyFill="1" applyBorder="1" applyAlignment="1">
      <alignment horizontal="left"/>
    </xf>
    <xf numFmtId="0" fontId="41" fillId="19" borderId="6" xfId="0" applyFont="1" applyFill="1" applyBorder="1" applyAlignment="1">
      <alignment horizontal="left"/>
    </xf>
    <xf numFmtId="168" fontId="41" fillId="19" borderId="6" xfId="0" applyNumberFormat="1" applyFont="1" applyFill="1" applyBorder="1" applyAlignment="1">
      <alignment horizontal="left"/>
    </xf>
    <xf numFmtId="168" fontId="41" fillId="19" borderId="6" xfId="0" applyNumberFormat="1" applyFont="1" applyFill="1" applyBorder="1" applyAlignment="1">
      <alignment horizontal="right"/>
    </xf>
    <xf numFmtId="0" fontId="7" fillId="19" borderId="2" xfId="0" applyFont="1" applyFill="1" applyBorder="1" applyAlignment="1">
      <alignment horizontal="left"/>
    </xf>
    <xf numFmtId="0" fontId="6" fillId="19" borderId="2" xfId="0" applyFont="1" applyFill="1" applyBorder="1" applyAlignment="1">
      <alignment horizontal="left"/>
    </xf>
    <xf numFmtId="168" fontId="6" fillId="19" borderId="2" xfId="0" applyNumberFormat="1" applyFont="1" applyFill="1" applyBorder="1"/>
    <xf numFmtId="0" fontId="53" fillId="0" borderId="5" xfId="0" applyFont="1" applyBorder="1" applyAlignment="1">
      <alignment vertical="center"/>
    </xf>
    <xf numFmtId="0" fontId="59" fillId="0" borderId="0" xfId="0" applyFont="1" applyAlignment="1">
      <alignment vertical="center" wrapText="1"/>
    </xf>
    <xf numFmtId="0" fontId="0" fillId="0" borderId="0" xfId="0" applyAlignment="1">
      <alignment horizontal="left"/>
    </xf>
    <xf numFmtId="0" fontId="0" fillId="0" borderId="48" xfId="0" applyBorder="1" applyAlignment="1">
      <alignment horizontal="left"/>
    </xf>
    <xf numFmtId="0" fontId="0" fillId="0" borderId="47" xfId="0" applyBorder="1"/>
    <xf numFmtId="0" fontId="0" fillId="0" borderId="48" xfId="0" applyBorder="1"/>
    <xf numFmtId="0" fontId="55" fillId="0" borderId="47" xfId="0" applyFont="1" applyBorder="1" applyAlignment="1">
      <alignment horizontal="left"/>
    </xf>
    <xf numFmtId="0" fontId="0" fillId="0" borderId="47" xfId="0" applyBorder="1" applyAlignment="1">
      <alignment horizontal="left"/>
    </xf>
    <xf numFmtId="0" fontId="55" fillId="0" borderId="47" xfId="0" applyFont="1" applyBorder="1" applyAlignment="1">
      <alignment horizontal="left" wrapText="1"/>
    </xf>
    <xf numFmtId="0" fontId="12" fillId="0" borderId="0" xfId="0" applyFont="1"/>
    <xf numFmtId="0" fontId="65" fillId="0" borderId="45" xfId="0" applyFont="1" applyBorder="1" applyAlignment="1">
      <alignment vertical="center"/>
    </xf>
    <xf numFmtId="0" fontId="66" fillId="0" borderId="0" xfId="0" applyFont="1" applyAlignment="1">
      <alignment vertical="center" wrapText="1"/>
    </xf>
    <xf numFmtId="0" fontId="65" fillId="0" borderId="0" xfId="0" applyFont="1" applyAlignment="1">
      <alignment vertical="center"/>
    </xf>
    <xf numFmtId="0" fontId="65" fillId="0" borderId="0" xfId="0" applyFont="1"/>
    <xf numFmtId="0" fontId="65" fillId="0" borderId="49" xfId="0" applyFont="1" applyBorder="1"/>
    <xf numFmtId="0" fontId="65" fillId="27" borderId="1" xfId="0" applyFont="1" applyFill="1" applyBorder="1" applyAlignment="1">
      <alignment vertical="center"/>
    </xf>
    <xf numFmtId="0" fontId="68" fillId="0" borderId="0" xfId="0" applyFont="1" applyAlignment="1">
      <alignment vertical="center"/>
    </xf>
    <xf numFmtId="0" fontId="68" fillId="0" borderId="0" xfId="0" quotePrefix="1" applyFont="1" applyAlignment="1">
      <alignment vertical="center"/>
    </xf>
    <xf numFmtId="0" fontId="65" fillId="0" borderId="1" xfId="0" applyFont="1" applyBorder="1" applyAlignment="1">
      <alignment horizontal="center" vertical="center" wrapText="1"/>
    </xf>
    <xf numFmtId="0" fontId="65" fillId="23" borderId="1" xfId="0" applyFont="1" applyFill="1" applyBorder="1" applyAlignment="1">
      <alignment vertical="center"/>
    </xf>
    <xf numFmtId="164" fontId="65" fillId="27" borderId="1" xfId="1" applyFont="1" applyFill="1" applyBorder="1" applyAlignment="1">
      <alignment vertical="center"/>
    </xf>
    <xf numFmtId="0" fontId="65" fillId="24" borderId="1" xfId="0" applyFont="1" applyFill="1" applyBorder="1" applyAlignment="1">
      <alignment horizontal="center" vertical="center"/>
    </xf>
    <xf numFmtId="164" fontId="65" fillId="24" borderId="1" xfId="1" applyFont="1" applyFill="1" applyBorder="1" applyAlignment="1">
      <alignment vertical="center"/>
    </xf>
    <xf numFmtId="0" fontId="65" fillId="0" borderId="1" xfId="0" applyFont="1" applyBorder="1" applyAlignment="1">
      <alignment horizontal="center" vertical="center"/>
    </xf>
    <xf numFmtId="169" fontId="65" fillId="25" borderId="1" xfId="1" applyNumberFormat="1" applyFont="1" applyFill="1" applyBorder="1" applyAlignment="1">
      <alignment vertical="center"/>
    </xf>
    <xf numFmtId="0" fontId="65" fillId="0" borderId="55" xfId="0" applyFont="1" applyBorder="1" applyAlignment="1">
      <alignment vertical="center"/>
    </xf>
    <xf numFmtId="0" fontId="65" fillId="0" borderId="56" xfId="0" applyFont="1" applyBorder="1" applyAlignment="1">
      <alignment vertical="center"/>
    </xf>
    <xf numFmtId="0" fontId="65" fillId="0" borderId="56" xfId="0" applyFont="1" applyBorder="1"/>
    <xf numFmtId="0" fontId="65" fillId="0" borderId="55" xfId="0" applyFont="1" applyBorder="1"/>
    <xf numFmtId="0" fontId="12" fillId="0" borderId="55" xfId="0" applyFont="1" applyBorder="1"/>
    <xf numFmtId="0" fontId="62" fillId="0" borderId="0" xfId="0" applyFont="1"/>
    <xf numFmtId="0" fontId="65" fillId="0" borderId="0" xfId="0" applyFont="1" applyAlignment="1">
      <alignment vertical="center" wrapText="1"/>
    </xf>
    <xf numFmtId="0" fontId="65" fillId="0" borderId="1" xfId="0" applyFont="1" applyBorder="1" applyAlignment="1">
      <alignment vertical="center" wrapText="1"/>
    </xf>
    <xf numFmtId="169" fontId="65" fillId="25" borderId="1" xfId="1" applyNumberFormat="1" applyFont="1" applyFill="1" applyBorder="1" applyAlignment="1">
      <alignment vertical="center" wrapText="1"/>
    </xf>
    <xf numFmtId="0" fontId="65" fillId="0" borderId="60" xfId="0" applyFont="1" applyBorder="1" applyAlignment="1">
      <alignment vertical="center"/>
    </xf>
    <xf numFmtId="0" fontId="65" fillId="0" borderId="61" xfId="0" applyFont="1" applyBorder="1" applyAlignment="1">
      <alignment vertical="center"/>
    </xf>
    <xf numFmtId="0" fontId="65" fillId="0" borderId="63" xfId="0" applyFont="1" applyBorder="1" applyAlignment="1">
      <alignment vertical="center"/>
    </xf>
    <xf numFmtId="0" fontId="65" fillId="0" borderId="57" xfId="0" applyFont="1" applyBorder="1" applyAlignment="1">
      <alignment vertical="center"/>
    </xf>
    <xf numFmtId="0" fontId="65" fillId="0" borderId="58" xfId="0" applyFont="1" applyBorder="1" applyAlignment="1">
      <alignment vertical="center"/>
    </xf>
    <xf numFmtId="0" fontId="65" fillId="0" borderId="59" xfId="0" applyFont="1" applyBorder="1" applyAlignment="1">
      <alignment vertical="center"/>
    </xf>
    <xf numFmtId="169" fontId="65" fillId="25" borderId="9" xfId="1" applyNumberFormat="1" applyFont="1" applyFill="1" applyBorder="1" applyAlignment="1">
      <alignment vertical="center"/>
    </xf>
    <xf numFmtId="0" fontId="65" fillId="24" borderId="28" xfId="0" applyFont="1" applyFill="1" applyBorder="1" applyAlignment="1">
      <alignment horizontal="left" vertical="center"/>
    </xf>
    <xf numFmtId="0" fontId="65" fillId="24" borderId="30" xfId="0" applyFont="1" applyFill="1" applyBorder="1" applyAlignment="1">
      <alignment horizontal="left" vertical="center" wrapText="1"/>
    </xf>
    <xf numFmtId="0" fontId="65" fillId="0" borderId="57" xfId="0" applyFont="1" applyBorder="1"/>
    <xf numFmtId="0" fontId="65" fillId="0" borderId="58" xfId="0" applyFont="1" applyBorder="1"/>
    <xf numFmtId="0" fontId="65" fillId="0" borderId="59" xfId="0" applyFont="1" applyBorder="1"/>
    <xf numFmtId="0" fontId="0" fillId="0" borderId="55" xfId="0" applyBorder="1"/>
    <xf numFmtId="0" fontId="6" fillId="0" borderId="0" xfId="0" applyFont="1" applyAlignment="1">
      <alignment vertical="center"/>
    </xf>
    <xf numFmtId="0" fontId="6" fillId="0" borderId="56" xfId="0" applyFont="1" applyBorder="1" applyAlignment="1">
      <alignment vertical="center"/>
    </xf>
    <xf numFmtId="0" fontId="65" fillId="0" borderId="56" xfId="0" applyFont="1" applyBorder="1" applyAlignment="1">
      <alignment vertical="center" wrapText="1"/>
    </xf>
    <xf numFmtId="0" fontId="0" fillId="0" borderId="56" xfId="0" applyBorder="1"/>
    <xf numFmtId="0" fontId="0" fillId="0" borderId="57" xfId="0" applyBorder="1"/>
    <xf numFmtId="0" fontId="0" fillId="0" borderId="58" xfId="0" applyBorder="1"/>
    <xf numFmtId="0" fontId="0" fillId="0" borderId="59" xfId="0" applyBorder="1"/>
    <xf numFmtId="164" fontId="65" fillId="24" borderId="1" xfId="1" applyFont="1" applyFill="1" applyBorder="1" applyAlignment="1">
      <alignment vertical="center" wrapText="1"/>
    </xf>
    <xf numFmtId="9" fontId="65" fillId="24" borderId="1" xfId="2" applyFont="1" applyFill="1" applyBorder="1" applyAlignment="1">
      <alignment horizontal="center" vertical="center" wrapText="1"/>
    </xf>
    <xf numFmtId="0" fontId="65" fillId="0" borderId="1" xfId="0" applyFont="1" applyBorder="1" applyAlignment="1">
      <alignment horizontal="left" vertical="center"/>
    </xf>
    <xf numFmtId="0" fontId="12" fillId="0" borderId="0" xfId="0" applyFont="1" applyAlignment="1">
      <alignment vertical="center"/>
    </xf>
    <xf numFmtId="0" fontId="12" fillId="0" borderId="56" xfId="0" applyFont="1" applyBorder="1" applyAlignment="1">
      <alignment vertical="center"/>
    </xf>
    <xf numFmtId="0" fontId="65" fillId="0" borderId="0" xfId="0" applyFont="1" applyAlignment="1">
      <alignment horizontal="left" vertical="center" wrapText="1"/>
    </xf>
    <xf numFmtId="0" fontId="65" fillId="0" borderId="56" xfId="0" applyFont="1" applyBorder="1" applyAlignment="1">
      <alignment horizontal="left" vertical="center" wrapText="1"/>
    </xf>
    <xf numFmtId="0" fontId="65" fillId="0" borderId="0" xfId="0" applyFont="1" applyAlignment="1">
      <alignment horizontal="center" vertical="center" wrapText="1"/>
    </xf>
    <xf numFmtId="0" fontId="65" fillId="0" borderId="58" xfId="0" applyFont="1" applyBorder="1" applyAlignment="1">
      <alignment vertical="center" wrapText="1"/>
    </xf>
    <xf numFmtId="0" fontId="65" fillId="0" borderId="59" xfId="0" applyFont="1" applyBorder="1" applyAlignment="1">
      <alignment vertical="center" wrapText="1"/>
    </xf>
    <xf numFmtId="0" fontId="65" fillId="26" borderId="1" xfId="0" applyFont="1" applyFill="1" applyBorder="1" applyAlignment="1">
      <alignment vertical="center"/>
    </xf>
    <xf numFmtId="0" fontId="65" fillId="26" borderId="1" xfId="0" applyFont="1" applyFill="1" applyBorder="1" applyAlignment="1">
      <alignment vertical="center" wrapText="1"/>
    </xf>
    <xf numFmtId="0" fontId="65" fillId="23" borderId="1" xfId="0" applyFont="1" applyFill="1" applyBorder="1" applyAlignment="1">
      <alignment vertical="center" wrapText="1"/>
    </xf>
    <xf numFmtId="0" fontId="0" fillId="0" borderId="63" xfId="0" applyBorder="1"/>
    <xf numFmtId="0" fontId="65" fillId="0" borderId="0" xfId="0" applyFont="1" applyAlignment="1">
      <alignment horizontal="center" vertical="center"/>
    </xf>
    <xf numFmtId="164" fontId="65" fillId="0" borderId="0" xfId="1" applyFont="1" applyFill="1" applyBorder="1" applyAlignment="1">
      <alignment vertical="center" wrapText="1"/>
    </xf>
    <xf numFmtId="0" fontId="65" fillId="0" borderId="0" xfId="0" applyFont="1" applyAlignment="1">
      <alignment wrapText="1"/>
    </xf>
    <xf numFmtId="0" fontId="0" fillId="0" borderId="0" xfId="0" applyAlignment="1">
      <alignment wrapText="1"/>
    </xf>
    <xf numFmtId="164" fontId="65" fillId="25" borderId="1" xfId="1" applyFont="1" applyFill="1" applyBorder="1" applyAlignment="1">
      <alignment vertical="center" wrapText="1"/>
    </xf>
    <xf numFmtId="164" fontId="65" fillId="24" borderId="1" xfId="0" applyNumberFormat="1" applyFont="1" applyFill="1" applyBorder="1" applyAlignment="1">
      <alignment vertical="center" wrapText="1"/>
    </xf>
    <xf numFmtId="0" fontId="71" fillId="0" borderId="55" xfId="0" applyFont="1" applyBorder="1" applyAlignment="1">
      <alignment horizontal="center" vertical="center"/>
    </xf>
    <xf numFmtId="0" fontId="0" fillId="0" borderId="56" xfId="0" applyBorder="1" applyAlignment="1">
      <alignment wrapText="1"/>
    </xf>
    <xf numFmtId="0" fontId="68" fillId="0" borderId="0" xfId="0" applyFont="1" applyAlignment="1">
      <alignment vertical="center" wrapText="1"/>
    </xf>
    <xf numFmtId="164" fontId="65" fillId="0" borderId="0" xfId="0" applyNumberFormat="1" applyFont="1" applyAlignment="1">
      <alignment vertical="center" wrapText="1"/>
    </xf>
    <xf numFmtId="164" fontId="65" fillId="0" borderId="56" xfId="0" applyNumberFormat="1" applyFont="1" applyBorder="1" applyAlignment="1">
      <alignment vertical="center" wrapText="1"/>
    </xf>
    <xf numFmtId="0" fontId="65" fillId="0" borderId="56" xfId="0" applyFont="1" applyBorder="1" applyAlignment="1">
      <alignment wrapText="1"/>
    </xf>
    <xf numFmtId="0" fontId="0" fillId="0" borderId="58" xfId="0" applyBorder="1" applyAlignment="1">
      <alignment wrapText="1"/>
    </xf>
    <xf numFmtId="0" fontId="0" fillId="0" borderId="59" xfId="0" applyBorder="1" applyAlignment="1">
      <alignment wrapText="1"/>
    </xf>
    <xf numFmtId="0" fontId="65" fillId="0" borderId="55" xfId="0" applyFont="1" applyBorder="1" applyAlignment="1">
      <alignment vertical="center" wrapText="1"/>
    </xf>
    <xf numFmtId="0" fontId="65" fillId="0" borderId="28" xfId="0" applyFont="1" applyBorder="1" applyAlignment="1">
      <alignment horizontal="center" vertical="center" wrapText="1"/>
    </xf>
    <xf numFmtId="0" fontId="68" fillId="0" borderId="0" xfId="0" applyFont="1" applyAlignment="1">
      <alignment wrapText="1"/>
    </xf>
    <xf numFmtId="169" fontId="65" fillId="0" borderId="0" xfId="0" applyNumberFormat="1" applyFont="1" applyAlignment="1">
      <alignment vertical="center" wrapText="1"/>
    </xf>
    <xf numFmtId="0" fontId="65" fillId="0" borderId="57" xfId="0" applyFont="1" applyBorder="1" applyAlignment="1">
      <alignment vertical="center" wrapText="1"/>
    </xf>
    <xf numFmtId="0" fontId="65" fillId="0" borderId="55" xfId="0" applyFont="1" applyBorder="1" applyAlignment="1">
      <alignment wrapText="1"/>
    </xf>
    <xf numFmtId="0" fontId="72" fillId="0" borderId="0" xfId="0" applyFont="1" applyAlignment="1">
      <alignment horizontal="left" wrapText="1"/>
    </xf>
    <xf numFmtId="0" fontId="66" fillId="0" borderId="1" xfId="0" applyFont="1" applyBorder="1" applyAlignment="1">
      <alignment horizontal="center" vertical="center" wrapText="1"/>
    </xf>
    <xf numFmtId="9" fontId="65" fillId="26" borderId="1" xfId="2" applyFont="1" applyFill="1" applyBorder="1" applyAlignment="1">
      <alignment vertical="center"/>
    </xf>
    <xf numFmtId="0" fontId="0" fillId="0" borderId="55" xfId="0" applyBorder="1" applyAlignment="1">
      <alignment wrapText="1"/>
    </xf>
    <xf numFmtId="164" fontId="65" fillId="24" borderId="1" xfId="1" applyFont="1" applyFill="1" applyBorder="1" applyAlignment="1">
      <alignment horizontal="center" vertical="center" wrapText="1"/>
    </xf>
    <xf numFmtId="0" fontId="65" fillId="0" borderId="2" xfId="0" applyFont="1" applyBorder="1" applyAlignment="1">
      <alignment horizontal="center" vertical="center" wrapText="1"/>
    </xf>
    <xf numFmtId="0" fontId="65" fillId="0" borderId="4" xfId="0" applyFont="1" applyBorder="1" applyAlignment="1">
      <alignment horizontal="center" vertical="center" wrapText="1"/>
    </xf>
    <xf numFmtId="0" fontId="7" fillId="0" borderId="0" xfId="0" applyFont="1" applyAlignment="1">
      <alignment horizontal="left"/>
    </xf>
    <xf numFmtId="0" fontId="6" fillId="0" borderId="0" xfId="0" applyFont="1" applyAlignment="1">
      <alignment horizontal="left"/>
    </xf>
    <xf numFmtId="168" fontId="6" fillId="0" borderId="0" xfId="0" applyNumberFormat="1" applyFont="1" applyAlignment="1">
      <alignment horizontal="left"/>
    </xf>
    <xf numFmtId="0" fontId="0" fillId="0" borderId="0" xfId="0" applyAlignment="1">
      <alignment horizontal="right"/>
    </xf>
    <xf numFmtId="168" fontId="0" fillId="0" borderId="0" xfId="0" applyNumberFormat="1" applyAlignment="1">
      <alignment horizontal="right"/>
    </xf>
    <xf numFmtId="0" fontId="0" fillId="0" borderId="64" xfId="0" applyBorder="1" applyAlignment="1">
      <alignment wrapText="1"/>
    </xf>
    <xf numFmtId="0" fontId="43" fillId="0" borderId="64" xfId="0" applyFont="1" applyBorder="1" applyAlignment="1">
      <alignment horizontal="right" wrapText="1"/>
    </xf>
    <xf numFmtId="0" fontId="0" fillId="0" borderId="71" xfId="0" applyBorder="1" applyAlignment="1">
      <alignment wrapText="1"/>
    </xf>
    <xf numFmtId="0" fontId="0" fillId="0" borderId="72" xfId="0" applyBorder="1" applyAlignment="1">
      <alignment vertical="center" wrapText="1"/>
    </xf>
    <xf numFmtId="0" fontId="43" fillId="13" borderId="73" xfId="0" applyFont="1" applyFill="1" applyBorder="1" applyAlignment="1">
      <alignment horizontal="center" vertical="center" wrapText="1"/>
    </xf>
    <xf numFmtId="0" fontId="44" fillId="8" borderId="72" xfId="0" applyFont="1" applyFill="1" applyBorder="1" applyAlignment="1">
      <alignment horizontal="center" vertical="center" wrapText="1"/>
    </xf>
    <xf numFmtId="0" fontId="44" fillId="8" borderId="71" xfId="0" applyFont="1" applyFill="1" applyBorder="1" applyAlignment="1">
      <alignment horizontal="center" vertical="center" wrapText="1"/>
    </xf>
    <xf numFmtId="0" fontId="0" fillId="10" borderId="72" xfId="0" applyFill="1" applyBorder="1" applyAlignment="1">
      <alignment vertical="center"/>
    </xf>
    <xf numFmtId="0" fontId="0" fillId="10" borderId="71" xfId="0" applyFill="1" applyBorder="1" applyAlignment="1">
      <alignment vertical="center" wrapText="1"/>
    </xf>
    <xf numFmtId="0" fontId="0" fillId="0" borderId="71" xfId="0" applyBorder="1" applyAlignment="1">
      <alignment horizontal="center" vertical="center" wrapText="1"/>
    </xf>
    <xf numFmtId="0" fontId="43" fillId="10" borderId="72" xfId="0" applyFont="1" applyFill="1" applyBorder="1" applyAlignment="1">
      <alignment vertical="center" wrapText="1"/>
    </xf>
    <xf numFmtId="0" fontId="43" fillId="10" borderId="71" xfId="0" applyFont="1" applyFill="1" applyBorder="1" applyAlignment="1">
      <alignment horizontal="center" vertical="center" wrapText="1"/>
    </xf>
    <xf numFmtId="0" fontId="0" fillId="0" borderId="72" xfId="0" applyBorder="1" applyAlignment="1">
      <alignment wrapText="1"/>
    </xf>
    <xf numFmtId="0" fontId="43" fillId="0" borderId="71" xfId="0" applyFont="1" applyBorder="1" applyAlignment="1">
      <alignment horizontal="right" wrapText="1"/>
    </xf>
    <xf numFmtId="0" fontId="0" fillId="14" borderId="72" xfId="0" applyFill="1" applyBorder="1" applyAlignment="1">
      <alignment vertical="center" wrapText="1"/>
    </xf>
    <xf numFmtId="0" fontId="0" fillId="0" borderId="72" xfId="0" applyBorder="1" applyAlignment="1">
      <alignment vertical="top" wrapText="1"/>
    </xf>
    <xf numFmtId="0" fontId="0" fillId="15" borderId="72" xfId="0" applyFill="1" applyBorder="1" applyAlignment="1">
      <alignment vertical="center" wrapText="1"/>
    </xf>
    <xf numFmtId="0" fontId="0" fillId="15" borderId="71" xfId="0" applyFill="1" applyBorder="1" applyAlignment="1">
      <alignment horizontal="center" vertical="center" wrapText="1"/>
    </xf>
    <xf numFmtId="0" fontId="43" fillId="10" borderId="71" xfId="0" applyFont="1" applyFill="1" applyBorder="1" applyAlignment="1">
      <alignment horizontal="right" vertical="center" wrapText="1"/>
    </xf>
    <xf numFmtId="0" fontId="44" fillId="8" borderId="72" xfId="0" applyFont="1" applyFill="1" applyBorder="1" applyAlignment="1">
      <alignment horizontal="center" wrapText="1"/>
    </xf>
    <xf numFmtId="0" fontId="44" fillId="8" borderId="71" xfId="0" applyFont="1" applyFill="1" applyBorder="1" applyAlignment="1">
      <alignment horizontal="center" wrapText="1"/>
    </xf>
    <xf numFmtId="0" fontId="45" fillId="10" borderId="72" xfId="0" applyFont="1" applyFill="1" applyBorder="1" applyAlignment="1">
      <alignment wrapText="1"/>
    </xf>
    <xf numFmtId="0" fontId="0" fillId="0" borderId="71" xfId="0" applyBorder="1" applyAlignment="1">
      <alignment vertical="center" wrapText="1"/>
    </xf>
    <xf numFmtId="0" fontId="45" fillId="10" borderId="74" xfId="0" applyFont="1" applyFill="1" applyBorder="1" applyAlignment="1">
      <alignment wrapText="1"/>
    </xf>
    <xf numFmtId="0" fontId="43" fillId="10" borderId="75" xfId="0" applyFont="1" applyFill="1" applyBorder="1" applyAlignment="1">
      <alignment horizontal="center" vertical="center" wrapText="1"/>
    </xf>
    <xf numFmtId="0" fontId="0" fillId="10" borderId="75" xfId="0" applyFill="1" applyBorder="1" applyAlignment="1">
      <alignment vertical="center" wrapText="1"/>
    </xf>
    <xf numFmtId="0" fontId="0" fillId="16" borderId="75" xfId="0" applyFill="1" applyBorder="1" applyAlignment="1">
      <alignment horizontal="right" wrapText="1"/>
    </xf>
    <xf numFmtId="0" fontId="43" fillId="10" borderId="76" xfId="0" applyFont="1" applyFill="1" applyBorder="1" applyAlignment="1">
      <alignment horizontal="center" vertical="center" wrapText="1"/>
    </xf>
    <xf numFmtId="0" fontId="77" fillId="0" borderId="0" xfId="0" applyFont="1" applyAlignment="1">
      <alignment vertical="center"/>
    </xf>
    <xf numFmtId="11" fontId="65" fillId="24" borderId="1" xfId="0" applyNumberFormat="1" applyFont="1" applyFill="1" applyBorder="1" applyAlignment="1">
      <alignment horizontal="center" vertical="center"/>
    </xf>
    <xf numFmtId="2" fontId="65" fillId="26" borderId="1" xfId="0" applyNumberFormat="1" applyFont="1" applyFill="1" applyBorder="1" applyAlignment="1">
      <alignment vertical="center"/>
    </xf>
    <xf numFmtId="0" fontId="77" fillId="0" borderId="0" xfId="0" applyFont="1" applyAlignment="1">
      <alignment horizontal="center" vertical="center"/>
    </xf>
    <xf numFmtId="0" fontId="77" fillId="0" borderId="56" xfId="0" applyFont="1" applyBorder="1" applyAlignment="1">
      <alignment vertical="center"/>
    </xf>
    <xf numFmtId="0" fontId="66" fillId="0" borderId="0" xfId="0" applyFont="1" applyAlignment="1">
      <alignment horizontal="right" vertical="center"/>
    </xf>
    <xf numFmtId="0" fontId="65" fillId="0" borderId="58" xfId="0" applyFont="1" applyBorder="1" applyAlignment="1">
      <alignment horizontal="center" vertical="center"/>
    </xf>
    <xf numFmtId="164" fontId="65" fillId="24" borderId="1" xfId="1" applyFont="1" applyFill="1" applyBorder="1" applyAlignment="1">
      <alignment horizontal="center" vertical="center"/>
    </xf>
    <xf numFmtId="0" fontId="78" fillId="0" borderId="0" xfId="0" applyFont="1" applyAlignment="1">
      <alignment vertical="center"/>
    </xf>
    <xf numFmtId="169" fontId="65" fillId="0" borderId="56" xfId="0" applyNumberFormat="1" applyFont="1" applyBorder="1" applyAlignment="1">
      <alignment vertical="center"/>
    </xf>
    <xf numFmtId="0" fontId="65" fillId="0" borderId="7" xfId="0" applyFont="1" applyBorder="1" applyAlignment="1">
      <alignment horizontal="center" vertical="center"/>
    </xf>
    <xf numFmtId="0" fontId="65" fillId="26" borderId="2" xfId="0" applyFont="1" applyFill="1" applyBorder="1" applyAlignment="1">
      <alignment vertical="center"/>
    </xf>
    <xf numFmtId="169" fontId="66" fillId="25" borderId="4" xfId="1" applyNumberFormat="1" applyFont="1" applyFill="1" applyBorder="1" applyAlignment="1">
      <alignment vertical="center"/>
    </xf>
    <xf numFmtId="169" fontId="66" fillId="25" borderId="1" xfId="1" applyNumberFormat="1" applyFont="1" applyFill="1" applyBorder="1" applyAlignment="1">
      <alignment vertical="center"/>
    </xf>
    <xf numFmtId="0" fontId="6" fillId="0" borderId="1" xfId="0" applyFont="1" applyBorder="1" applyAlignment="1">
      <alignment horizontal="center" vertical="center" wrapText="1"/>
    </xf>
    <xf numFmtId="164" fontId="6" fillId="0" borderId="1" xfId="1" applyFont="1" applyFill="1" applyBorder="1" applyAlignment="1">
      <alignment horizontal="center" vertical="center" wrapText="1"/>
    </xf>
    <xf numFmtId="0" fontId="61" fillId="0" borderId="45" xfId="0" applyFont="1" applyBorder="1" applyAlignment="1">
      <alignment vertical="center"/>
    </xf>
    <xf numFmtId="0" fontId="61" fillId="0" borderId="0" xfId="0" applyFont="1" applyAlignment="1">
      <alignment vertical="center"/>
    </xf>
    <xf numFmtId="0" fontId="62" fillId="0" borderId="49" xfId="0" applyFont="1" applyBorder="1"/>
    <xf numFmtId="0" fontId="81" fillId="0" borderId="77" xfId="0" applyFont="1" applyBorder="1" applyAlignment="1">
      <alignment vertical="top"/>
    </xf>
    <xf numFmtId="0" fontId="0" fillId="0" borderId="80" xfId="0" applyBorder="1"/>
    <xf numFmtId="0" fontId="0" fillId="0" borderId="81" xfId="0" applyBorder="1"/>
    <xf numFmtId="0" fontId="61" fillId="0" borderId="82" xfId="0" applyFont="1" applyBorder="1" applyAlignment="1">
      <alignment vertical="center"/>
    </xf>
    <xf numFmtId="0" fontId="61" fillId="0" borderId="83" xfId="0" applyFont="1" applyBorder="1" applyAlignment="1">
      <alignment vertical="center"/>
    </xf>
    <xf numFmtId="0" fontId="61" fillId="0" borderId="55" xfId="0" applyFont="1" applyBorder="1" applyAlignment="1">
      <alignment vertical="center"/>
    </xf>
    <xf numFmtId="0" fontId="61" fillId="0" borderId="56" xfId="0" applyFont="1" applyBorder="1" applyAlignment="1">
      <alignment vertical="center"/>
    </xf>
    <xf numFmtId="0" fontId="61" fillId="0" borderId="85" xfId="0" applyFont="1" applyBorder="1" applyAlignment="1">
      <alignment vertical="center"/>
    </xf>
    <xf numFmtId="0" fontId="62" fillId="0" borderId="55" xfId="0" applyFont="1" applyBorder="1"/>
    <xf numFmtId="0" fontId="62" fillId="0" borderId="56" xfId="0" applyFont="1" applyBorder="1"/>
    <xf numFmtId="0" fontId="62" fillId="0" borderId="57" xfId="0" applyFont="1" applyBorder="1"/>
    <xf numFmtId="0" fontId="62" fillId="0" borderId="59" xfId="0" applyFont="1" applyBorder="1"/>
    <xf numFmtId="169" fontId="65" fillId="25" borderId="1" xfId="1" applyNumberFormat="1" applyFont="1" applyFill="1" applyBorder="1" applyAlignment="1">
      <alignment vertical="center" shrinkToFit="1"/>
    </xf>
    <xf numFmtId="169" fontId="66" fillId="25" borderId="27" xfId="1" applyNumberFormat="1" applyFont="1" applyFill="1" applyBorder="1" applyAlignment="1">
      <alignment vertical="center"/>
    </xf>
    <xf numFmtId="0" fontId="6" fillId="0" borderId="0" xfId="0" applyFont="1" applyAlignment="1">
      <alignment vertical="center" wrapText="1"/>
    </xf>
    <xf numFmtId="9" fontId="65" fillId="0" borderId="0" xfId="2" applyFont="1" applyFill="1" applyBorder="1" applyAlignment="1">
      <alignment horizontal="center" vertical="center" wrapText="1"/>
    </xf>
    <xf numFmtId="0" fontId="65" fillId="24" borderId="1" xfId="0" applyFont="1" applyFill="1" applyBorder="1" applyAlignment="1">
      <alignment horizontal="left" vertical="center" wrapText="1"/>
    </xf>
    <xf numFmtId="0" fontId="6" fillId="0" borderId="55" xfId="0" applyFont="1" applyBorder="1" applyAlignment="1">
      <alignment vertical="center"/>
    </xf>
    <xf numFmtId="171" fontId="65" fillId="0" borderId="1" xfId="2" applyNumberFormat="1" applyFont="1" applyFill="1" applyBorder="1" applyAlignment="1">
      <alignment horizontal="center" vertical="center" wrapText="1"/>
    </xf>
    <xf numFmtId="0" fontId="7" fillId="0" borderId="1" xfId="0" applyFont="1" applyBorder="1" applyAlignment="1">
      <alignment horizontal="center" vertical="center"/>
    </xf>
    <xf numFmtId="164" fontId="7" fillId="0" borderId="1" xfId="1" applyFont="1" applyFill="1" applyBorder="1" applyAlignment="1">
      <alignment horizontal="center" vertical="center"/>
    </xf>
    <xf numFmtId="0" fontId="6" fillId="0" borderId="1" xfId="0" applyFont="1" applyBorder="1" applyAlignment="1">
      <alignment vertical="center"/>
    </xf>
    <xf numFmtId="164" fontId="7" fillId="0" borderId="1" xfId="1" applyFont="1" applyFill="1" applyBorder="1" applyAlignment="1">
      <alignment horizontal="center" vertical="center" wrapText="1"/>
    </xf>
    <xf numFmtId="0" fontId="11" fillId="0" borderId="0" xfId="3" applyFill="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164" fontId="6" fillId="0" borderId="1" xfId="0" applyNumberFormat="1" applyFont="1" applyBorder="1" applyAlignment="1">
      <alignment vertical="center"/>
    </xf>
    <xf numFmtId="11" fontId="6" fillId="0" borderId="1" xfId="1" applyNumberFormat="1" applyFont="1" applyFill="1" applyBorder="1" applyAlignment="1">
      <alignment vertical="center"/>
    </xf>
    <xf numFmtId="0" fontId="6" fillId="0" borderId="1" xfId="0" applyFont="1" applyBorder="1" applyAlignment="1">
      <alignment vertical="center" wrapText="1"/>
    </xf>
    <xf numFmtId="164" fontId="6" fillId="0" borderId="0" xfId="1" applyFont="1" applyFill="1" applyAlignment="1">
      <alignment vertical="center"/>
    </xf>
    <xf numFmtId="164" fontId="6" fillId="0" borderId="1" xfId="1" applyFont="1" applyFill="1" applyBorder="1" applyAlignment="1">
      <alignment horizontal="center" vertical="center"/>
    </xf>
    <xf numFmtId="0" fontId="11" fillId="0" borderId="1" xfId="3" applyFill="1" applyBorder="1" applyAlignment="1">
      <alignment vertical="center"/>
    </xf>
    <xf numFmtId="0" fontId="6" fillId="0" borderId="1" xfId="0" applyFont="1" applyBorder="1" applyAlignment="1">
      <alignment horizontal="center" vertical="center"/>
    </xf>
    <xf numFmtId="169" fontId="55" fillId="25" borderId="1" xfId="1" applyNumberFormat="1" applyFont="1" applyFill="1" applyBorder="1" applyAlignment="1">
      <alignment vertical="center"/>
    </xf>
    <xf numFmtId="0" fontId="55" fillId="26" borderId="1" xfId="0" applyFont="1" applyFill="1" applyBorder="1" applyAlignment="1">
      <alignment vertical="center"/>
    </xf>
    <xf numFmtId="0" fontId="84" fillId="0" borderId="0" xfId="0" applyFont="1"/>
    <xf numFmtId="0" fontId="55" fillId="26" borderId="9" xfId="0" applyFont="1" applyFill="1" applyBorder="1" applyAlignment="1">
      <alignment vertical="center"/>
    </xf>
    <xf numFmtId="0" fontId="85" fillId="0" borderId="55" xfId="0" applyFont="1" applyBorder="1" applyAlignment="1">
      <alignment vertical="center"/>
    </xf>
    <xf numFmtId="0" fontId="63" fillId="21" borderId="60" xfId="0" applyFont="1" applyFill="1" applyBorder="1" applyAlignment="1">
      <alignment horizontal="center" vertical="center" wrapText="1"/>
    </xf>
    <xf numFmtId="0" fontId="63" fillId="21" borderId="61" xfId="0" applyFont="1" applyFill="1" applyBorder="1" applyAlignment="1">
      <alignment horizontal="center" vertical="center" wrapText="1"/>
    </xf>
    <xf numFmtId="0" fontId="63" fillId="21" borderId="63" xfId="0" applyFont="1" applyFill="1" applyBorder="1" applyAlignment="1">
      <alignment horizontal="center" vertical="center" wrapText="1"/>
    </xf>
    <xf numFmtId="0" fontId="55" fillId="0" borderId="1" xfId="0" applyFont="1" applyBorder="1" applyAlignment="1">
      <alignment horizontal="center" vertical="center"/>
    </xf>
    <xf numFmtId="0" fontId="55" fillId="23" borderId="28" xfId="0" applyFont="1" applyFill="1" applyBorder="1" applyAlignment="1">
      <alignment vertical="center" wrapText="1"/>
    </xf>
    <xf numFmtId="0" fontId="55" fillId="0" borderId="1" xfId="0" applyFont="1" applyBorder="1" applyAlignment="1">
      <alignment horizontal="center" vertical="center" wrapText="1"/>
    </xf>
    <xf numFmtId="164" fontId="65" fillId="0" borderId="0" xfId="1" applyFont="1" applyFill="1" applyBorder="1" applyAlignment="1">
      <alignment vertical="center"/>
    </xf>
    <xf numFmtId="10" fontId="65" fillId="26" borderId="1" xfId="2" applyNumberFormat="1" applyFont="1" applyFill="1" applyBorder="1" applyAlignment="1">
      <alignment vertical="center"/>
    </xf>
    <xf numFmtId="2" fontId="65" fillId="26" borderId="1" xfId="2" applyNumberFormat="1" applyFont="1" applyFill="1" applyBorder="1" applyAlignment="1">
      <alignment vertical="center"/>
    </xf>
    <xf numFmtId="0" fontId="86" fillId="0" borderId="0" xfId="0" applyFont="1"/>
    <xf numFmtId="0" fontId="87" fillId="0" borderId="0" xfId="0" applyFont="1"/>
    <xf numFmtId="0" fontId="79" fillId="0" borderId="1" xfId="0" applyFont="1" applyBorder="1" applyAlignment="1">
      <alignment horizontal="center" vertical="center" wrapText="1"/>
    </xf>
    <xf numFmtId="0" fontId="6" fillId="0" borderId="1" xfId="0" applyFont="1" applyBorder="1" applyAlignment="1">
      <alignment horizontal="left" vertical="center"/>
    </xf>
    <xf numFmtId="0" fontId="55" fillId="26" borderId="1" xfId="0" applyFont="1" applyFill="1" applyBorder="1" applyAlignment="1">
      <alignment vertical="center" wrapText="1"/>
    </xf>
    <xf numFmtId="6" fontId="65" fillId="26" borderId="1" xfId="0" applyNumberFormat="1" applyFont="1" applyFill="1" applyBorder="1" applyAlignment="1">
      <alignment vertical="center" wrapText="1"/>
    </xf>
    <xf numFmtId="0" fontId="55" fillId="0" borderId="0" xfId="0" applyFont="1" applyAlignment="1">
      <alignment horizontal="center" vertical="center" wrapText="1"/>
    </xf>
    <xf numFmtId="0" fontId="55" fillId="0" borderId="0" xfId="0" applyFont="1" applyAlignment="1">
      <alignment horizontal="left" vertical="center" wrapText="1"/>
    </xf>
    <xf numFmtId="0" fontId="65" fillId="0" borderId="0" xfId="0" applyFont="1" applyAlignment="1">
      <alignment horizontal="left" vertical="center"/>
    </xf>
    <xf numFmtId="0" fontId="71" fillId="0" borderId="0" xfId="0" applyFont="1" applyAlignment="1">
      <alignment horizontal="center" vertical="center"/>
    </xf>
    <xf numFmtId="0" fontId="65" fillId="0" borderId="2" xfId="0" applyFont="1" applyBorder="1" applyAlignment="1">
      <alignment vertical="center" wrapText="1"/>
    </xf>
    <xf numFmtId="0" fontId="73" fillId="0" borderId="0" xfId="0" applyFont="1" applyAlignment="1">
      <alignment vertical="top" wrapText="1"/>
    </xf>
    <xf numFmtId="0" fontId="55" fillId="0" borderId="60" xfId="0" applyFont="1" applyBorder="1" applyAlignment="1">
      <alignment vertical="center"/>
    </xf>
    <xf numFmtId="0" fontId="55" fillId="0" borderId="55" xfId="0" applyFont="1" applyBorder="1" applyAlignment="1">
      <alignment vertical="center"/>
    </xf>
    <xf numFmtId="0" fontId="55" fillId="0" borderId="55" xfId="0" applyFont="1" applyBorder="1"/>
    <xf numFmtId="0" fontId="0" fillId="0" borderId="0" xfId="0" applyAlignment="1">
      <alignment vertical="center"/>
    </xf>
    <xf numFmtId="0" fontId="12" fillId="0" borderId="55"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172" fontId="65" fillId="24" borderId="1" xfId="1" applyNumberFormat="1" applyFont="1" applyFill="1" applyBorder="1" applyAlignment="1">
      <alignment vertical="center"/>
    </xf>
    <xf numFmtId="0" fontId="55" fillId="24" borderId="1" xfId="0" applyFont="1" applyFill="1" applyBorder="1" applyAlignment="1">
      <alignment horizontal="left" vertical="center" wrapText="1"/>
    </xf>
    <xf numFmtId="0" fontId="11" fillId="0" borderId="2" xfId="3" applyFill="1" applyBorder="1" applyAlignment="1">
      <alignment vertical="center" wrapText="1"/>
    </xf>
    <xf numFmtId="169" fontId="65" fillId="0" borderId="0" xfId="0" applyNumberFormat="1" applyFont="1" applyAlignment="1">
      <alignment vertical="center"/>
    </xf>
    <xf numFmtId="164" fontId="65" fillId="25" borderId="1" xfId="1" applyFont="1" applyFill="1" applyBorder="1" applyAlignment="1">
      <alignment vertical="center"/>
    </xf>
    <xf numFmtId="0" fontId="0" fillId="0" borderId="1" xfId="0" applyBorder="1" applyAlignment="1">
      <alignment horizontal="center" vertical="center"/>
    </xf>
    <xf numFmtId="0" fontId="46" fillId="0" borderId="0" xfId="0" applyFont="1"/>
    <xf numFmtId="0" fontId="90" fillId="0" borderId="55" xfId="3" applyFont="1" applyFill="1" applyBorder="1" applyAlignment="1">
      <alignment horizontal="left" vertical="center"/>
    </xf>
    <xf numFmtId="0" fontId="0" fillId="7" borderId="1" xfId="0"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60" xfId="0" applyBorder="1"/>
    <xf numFmtId="0" fontId="0" fillId="0" borderId="61" xfId="0" applyBorder="1"/>
    <xf numFmtId="0" fontId="43" fillId="7" borderId="1" xfId="0" applyFont="1" applyFill="1" applyBorder="1" applyAlignment="1">
      <alignment horizontal="center" vertical="center"/>
    </xf>
    <xf numFmtId="0" fontId="43" fillId="5" borderId="1" xfId="0" applyFont="1" applyFill="1" applyBorder="1" applyAlignment="1">
      <alignment horizontal="center" vertical="center"/>
    </xf>
    <xf numFmtId="0" fontId="43" fillId="31" borderId="1" xfId="0" applyFont="1" applyFill="1" applyBorder="1" applyAlignment="1">
      <alignment horizontal="center" vertical="center"/>
    </xf>
    <xf numFmtId="0" fontId="68" fillId="0" borderId="0" xfId="0" applyFont="1" applyAlignment="1">
      <alignment horizontal="center" vertical="center"/>
    </xf>
    <xf numFmtId="0" fontId="55" fillId="0" borderId="0" xfId="0" applyFont="1" applyAlignment="1">
      <alignment vertical="center" wrapText="1"/>
    </xf>
    <xf numFmtId="0" fontId="0" fillId="6" borderId="55" xfId="0" applyFill="1" applyBorder="1" applyAlignment="1">
      <alignment horizontal="left"/>
    </xf>
    <xf numFmtId="0" fontId="0" fillId="6" borderId="0" xfId="0" applyFill="1" applyAlignment="1">
      <alignment horizontal="left"/>
    </xf>
    <xf numFmtId="0" fontId="0" fillId="6" borderId="56" xfId="0" applyFill="1" applyBorder="1" applyAlignment="1">
      <alignment horizontal="left"/>
    </xf>
    <xf numFmtId="0" fontId="0" fillId="6" borderId="41" xfId="0" applyFill="1" applyBorder="1" applyAlignment="1">
      <alignment horizontal="left"/>
    </xf>
    <xf numFmtId="0" fontId="0" fillId="6" borderId="11" xfId="0" applyFill="1" applyBorder="1" applyAlignment="1">
      <alignment horizontal="left"/>
    </xf>
    <xf numFmtId="0" fontId="0" fillId="6" borderId="42" xfId="0" applyFill="1" applyBorder="1" applyAlignment="1">
      <alignment horizontal="left"/>
    </xf>
    <xf numFmtId="0" fontId="71" fillId="7" borderId="89" xfId="0" applyFont="1" applyFill="1" applyBorder="1" applyAlignment="1">
      <alignment horizontal="center" vertical="center"/>
    </xf>
    <xf numFmtId="0" fontId="0" fillId="0" borderId="90" xfId="0" applyBorder="1"/>
    <xf numFmtId="0" fontId="89" fillId="32" borderId="91" xfId="3" applyFont="1" applyFill="1" applyBorder="1" applyAlignment="1">
      <alignment horizontal="left"/>
    </xf>
    <xf numFmtId="0" fontId="89" fillId="33" borderId="91" xfId="3" applyFont="1" applyFill="1" applyBorder="1" applyAlignment="1">
      <alignment horizontal="left"/>
    </xf>
    <xf numFmtId="0" fontId="89" fillId="34" borderId="92" xfId="3" applyFont="1" applyFill="1" applyBorder="1" applyAlignment="1">
      <alignment horizontal="left"/>
    </xf>
    <xf numFmtId="0" fontId="71" fillId="5" borderId="93" xfId="0" applyFont="1" applyFill="1" applyBorder="1" applyAlignment="1">
      <alignment horizontal="center" vertical="center"/>
    </xf>
    <xf numFmtId="0" fontId="81" fillId="0" borderId="7" xfId="0" applyFont="1" applyBorder="1" applyAlignment="1">
      <alignment vertical="top"/>
    </xf>
    <xf numFmtId="0" fontId="81" fillId="0" borderId="78" xfId="0" applyFont="1" applyBorder="1" applyAlignment="1">
      <alignment vertical="top"/>
    </xf>
    <xf numFmtId="0" fontId="68" fillId="0" borderId="1" xfId="0" applyFont="1" applyBorder="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0" fillId="34" borderId="90" xfId="0" applyFill="1" applyBorder="1"/>
    <xf numFmtId="169" fontId="65" fillId="0" borderId="56" xfId="0" applyNumberFormat="1" applyFont="1" applyBorder="1" applyAlignment="1">
      <alignment vertical="center" wrapText="1"/>
    </xf>
    <xf numFmtId="44" fontId="65" fillId="26" borderId="1" xfId="9" applyFont="1" applyFill="1" applyBorder="1" applyAlignment="1">
      <alignment vertical="center" wrapText="1"/>
    </xf>
    <xf numFmtId="169" fontId="65" fillId="0" borderId="0" xfId="0" applyNumberFormat="1" applyFont="1" applyAlignment="1">
      <alignment wrapText="1"/>
    </xf>
    <xf numFmtId="173" fontId="68" fillId="26" borderId="1" xfId="0" applyNumberFormat="1" applyFont="1" applyFill="1" applyBorder="1" applyAlignment="1">
      <alignment vertical="center" wrapText="1"/>
    </xf>
    <xf numFmtId="164" fontId="65" fillId="35" borderId="1" xfId="1" applyFont="1" applyFill="1" applyBorder="1" applyAlignment="1">
      <alignment vertical="center" wrapText="1"/>
    </xf>
    <xf numFmtId="14" fontId="65" fillId="0" borderId="56" xfId="0" applyNumberFormat="1" applyFont="1" applyBorder="1" applyAlignment="1">
      <alignment vertical="center"/>
    </xf>
    <xf numFmtId="0" fontId="93" fillId="0" borderId="2" xfId="3" applyFont="1" applyFill="1" applyBorder="1" applyAlignment="1">
      <alignment horizontal="center" vertical="center" wrapText="1"/>
    </xf>
    <xf numFmtId="0" fontId="86" fillId="0" borderId="0" xfId="0" applyFont="1" applyAlignment="1">
      <alignment horizontal="left"/>
    </xf>
    <xf numFmtId="0" fontId="86" fillId="0" borderId="55" xfId="0" applyFont="1" applyBorder="1"/>
    <xf numFmtId="0" fontId="25" fillId="3" borderId="0" xfId="0" applyFont="1" applyFill="1" applyAlignment="1">
      <alignment horizontal="left" vertical="center" wrapText="1"/>
    </xf>
    <xf numFmtId="164" fontId="65" fillId="0" borderId="1" xfId="1" applyFont="1" applyFill="1" applyBorder="1" applyAlignment="1">
      <alignment horizontal="center" vertical="center" wrapText="1"/>
    </xf>
    <xf numFmtId="164" fontId="65" fillId="0" borderId="38" xfId="1" applyFont="1" applyFill="1" applyBorder="1" applyAlignment="1">
      <alignment horizontal="center" vertical="center" wrapText="1"/>
    </xf>
    <xf numFmtId="164" fontId="65" fillId="0" borderId="27" xfId="1" applyFont="1" applyFill="1" applyBorder="1" applyAlignment="1">
      <alignment vertical="center" wrapText="1"/>
    </xf>
    <xf numFmtId="43" fontId="65" fillId="0" borderId="0" xfId="0" applyNumberFormat="1" applyFont="1" applyAlignment="1">
      <alignment vertical="center"/>
    </xf>
    <xf numFmtId="0" fontId="6" fillId="34" borderId="0" xfId="0" applyFont="1" applyFill="1" applyAlignment="1">
      <alignment vertical="center"/>
    </xf>
    <xf numFmtId="164" fontId="6" fillId="34" borderId="0" xfId="1" applyFont="1" applyFill="1" applyAlignment="1">
      <alignment vertical="center"/>
    </xf>
    <xf numFmtId="0" fontId="6" fillId="34" borderId="1" xfId="0" applyFont="1" applyFill="1" applyBorder="1" applyAlignment="1">
      <alignment vertical="center"/>
    </xf>
    <xf numFmtId="167" fontId="6" fillId="34" borderId="1" xfId="1" applyNumberFormat="1" applyFont="1" applyFill="1" applyBorder="1" applyAlignment="1">
      <alignment vertical="center"/>
    </xf>
    <xf numFmtId="0" fontId="6" fillId="34" borderId="0" xfId="0" applyFont="1" applyFill="1" applyAlignment="1">
      <alignment vertical="center" wrapText="1"/>
    </xf>
    <xf numFmtId="164" fontId="6" fillId="34" borderId="0" xfId="1" applyFont="1" applyFill="1" applyBorder="1" applyAlignment="1">
      <alignment vertical="center"/>
    </xf>
    <xf numFmtId="165" fontId="6" fillId="34" borderId="0" xfId="1" applyNumberFormat="1" applyFont="1" applyFill="1" applyAlignment="1">
      <alignment vertical="center"/>
    </xf>
    <xf numFmtId="170" fontId="6" fillId="34" borderId="0" xfId="1" applyNumberFormat="1" applyFont="1" applyFill="1" applyAlignment="1">
      <alignment vertical="center"/>
    </xf>
    <xf numFmtId="0" fontId="6" fillId="34" borderId="1" xfId="0" applyFont="1" applyFill="1" applyBorder="1" applyAlignment="1">
      <alignment horizontal="left" vertical="center"/>
    </xf>
    <xf numFmtId="0" fontId="6" fillId="34" borderId="0" xfId="0" applyFont="1" applyFill="1" applyAlignment="1">
      <alignment horizontal="left" vertical="center"/>
    </xf>
    <xf numFmtId="0" fontId="95" fillId="0" borderId="1" xfId="0" applyFont="1" applyBorder="1" applyAlignment="1">
      <alignment vertical="center"/>
    </xf>
    <xf numFmtId="0" fontId="55" fillId="0" borderId="1" xfId="0" applyFont="1" applyBorder="1" applyAlignment="1">
      <alignment horizontal="left" vertical="center"/>
    </xf>
    <xf numFmtId="164" fontId="6" fillId="0" borderId="0" xfId="1" applyFont="1" applyFill="1" applyAlignment="1">
      <alignment horizontal="left" vertical="center"/>
    </xf>
    <xf numFmtId="0" fontId="96" fillId="0" borderId="1" xfId="0" applyFont="1" applyBorder="1" applyAlignment="1">
      <alignment horizontal="center" vertical="center" wrapText="1"/>
    </xf>
    <xf numFmtId="0" fontId="0" fillId="0" borderId="0" xfId="0" applyAlignment="1">
      <alignment horizontal="left" vertical="center"/>
    </xf>
    <xf numFmtId="0" fontId="96" fillId="0" borderId="28" xfId="0" applyFont="1" applyBorder="1" applyAlignment="1">
      <alignment horizontal="center" vertical="center" wrapText="1"/>
    </xf>
    <xf numFmtId="0" fontId="96" fillId="0" borderId="29" xfId="0" applyFont="1" applyBorder="1" applyAlignment="1">
      <alignment horizontal="center" vertical="center" wrapText="1"/>
    </xf>
    <xf numFmtId="0" fontId="97" fillId="0" borderId="28" xfId="0" applyFont="1" applyBorder="1" applyAlignment="1">
      <alignment horizontal="left" vertical="center" wrapText="1"/>
    </xf>
    <xf numFmtId="0" fontId="98" fillId="0" borderId="0" xfId="0" applyFont="1" applyAlignment="1">
      <alignment horizontal="left" vertical="center" wrapText="1"/>
    </xf>
    <xf numFmtId="0" fontId="98" fillId="0" borderId="29" xfId="0" applyFont="1" applyBorder="1" applyAlignment="1">
      <alignment horizontal="left" vertical="center" wrapText="1"/>
    </xf>
    <xf numFmtId="164" fontId="97" fillId="0" borderId="29" xfId="1" applyFont="1" applyFill="1" applyBorder="1" applyAlignment="1">
      <alignment horizontal="left" vertical="center" wrapText="1"/>
    </xf>
    <xf numFmtId="0" fontId="99" fillId="0" borderId="0" xfId="0" applyFont="1" applyAlignment="1">
      <alignment horizontal="left" vertical="center" wrapText="1"/>
    </xf>
    <xf numFmtId="0" fontId="97" fillId="0" borderId="32" xfId="0" applyFont="1" applyBorder="1" applyAlignment="1">
      <alignment horizontal="left" vertical="center" wrapText="1"/>
    </xf>
    <xf numFmtId="0" fontId="99" fillId="0" borderId="58" xfId="0" applyFont="1" applyBorder="1" applyAlignment="1">
      <alignment horizontal="left" vertical="center" wrapText="1"/>
    </xf>
    <xf numFmtId="164" fontId="97" fillId="0" borderId="33" xfId="1" applyFont="1" applyFill="1" applyBorder="1" applyAlignment="1">
      <alignment horizontal="left" vertical="center" wrapText="1"/>
    </xf>
    <xf numFmtId="0" fontId="68" fillId="0" borderId="1" xfId="0" applyFont="1" applyBorder="1" applyAlignment="1">
      <alignment horizontal="center" vertical="center" wrapText="1"/>
    </xf>
    <xf numFmtId="0" fontId="55" fillId="0" borderId="0" xfId="0" applyFont="1" applyAlignment="1">
      <alignment horizontal="left" vertical="top" wrapText="1"/>
    </xf>
    <xf numFmtId="164" fontId="7" fillId="34" borderId="1" xfId="10" applyFont="1" applyFill="1" applyBorder="1" applyAlignment="1">
      <alignment horizontal="center" vertical="center" wrapText="1"/>
    </xf>
    <xf numFmtId="0" fontId="7" fillId="34" borderId="1" xfId="0" applyFont="1" applyFill="1" applyBorder="1" applyAlignment="1">
      <alignment horizontal="center" vertical="center"/>
    </xf>
    <xf numFmtId="0" fontId="7" fillId="34" borderId="1" xfId="0" applyFont="1" applyFill="1" applyBorder="1" applyAlignment="1">
      <alignment vertical="center"/>
    </xf>
    <xf numFmtId="0" fontId="68" fillId="34" borderId="0" xfId="0" applyFont="1" applyFill="1" applyAlignment="1">
      <alignment vertical="center" wrapText="1"/>
    </xf>
    <xf numFmtId="0" fontId="65" fillId="34" borderId="0" xfId="0" applyFont="1" applyFill="1" applyAlignment="1">
      <alignment vertical="center" wrapText="1"/>
    </xf>
    <xf numFmtId="0" fontId="65" fillId="34" borderId="0" xfId="0" applyFont="1" applyFill="1" applyAlignment="1">
      <alignment horizontal="center" vertical="center" wrapText="1"/>
    </xf>
    <xf numFmtId="164" fontId="65" fillId="34" borderId="0" xfId="1" applyFont="1" applyFill="1" applyBorder="1" applyAlignment="1">
      <alignment vertical="center" wrapText="1"/>
    </xf>
    <xf numFmtId="0" fontId="4" fillId="0" borderId="1" xfId="0" applyFont="1" applyBorder="1" applyAlignment="1">
      <alignment horizontal="center" vertical="center" wrapText="1"/>
    </xf>
    <xf numFmtId="0" fontId="43" fillId="34" borderId="1" xfId="0" applyFont="1" applyFill="1" applyBorder="1" applyAlignment="1">
      <alignment vertical="top"/>
    </xf>
    <xf numFmtId="0" fontId="7" fillId="36" borderId="6" xfId="0" applyFont="1" applyFill="1" applyBorder="1" applyAlignment="1">
      <alignment horizontal="left"/>
    </xf>
    <xf numFmtId="0" fontId="6" fillId="36" borderId="6" xfId="0" applyFont="1" applyFill="1" applyBorder="1" applyAlignment="1">
      <alignment horizontal="left"/>
    </xf>
    <xf numFmtId="168" fontId="6" fillId="36" borderId="6" xfId="0" applyNumberFormat="1" applyFont="1" applyFill="1" applyBorder="1"/>
    <xf numFmtId="168" fontId="6" fillId="36" borderId="38" xfId="0" applyNumberFormat="1" applyFont="1" applyFill="1" applyBorder="1" applyAlignment="1">
      <alignment horizontal="left"/>
    </xf>
    <xf numFmtId="0" fontId="6" fillId="36" borderId="38" xfId="0" applyFont="1" applyFill="1" applyBorder="1" applyAlignment="1">
      <alignment horizontal="left"/>
    </xf>
    <xf numFmtId="0" fontId="43" fillId="36" borderId="1" xfId="0" applyFont="1" applyFill="1" applyBorder="1" applyAlignment="1">
      <alignment vertical="top"/>
    </xf>
    <xf numFmtId="0" fontId="41" fillId="36" borderId="40" xfId="0" applyFont="1" applyFill="1" applyBorder="1" applyAlignment="1">
      <alignment horizontal="left"/>
    </xf>
    <xf numFmtId="168" fontId="6" fillId="36" borderId="38" xfId="0" applyNumberFormat="1" applyFont="1" applyFill="1" applyBorder="1"/>
    <xf numFmtId="168" fontId="41" fillId="36" borderId="40" xfId="0" applyNumberFormat="1" applyFont="1" applyFill="1" applyBorder="1" applyAlignment="1">
      <alignment horizontal="left"/>
    </xf>
    <xf numFmtId="0" fontId="41" fillId="36" borderId="38" xfId="0" applyFont="1" applyFill="1" applyBorder="1" applyAlignment="1">
      <alignment horizontal="left"/>
    </xf>
    <xf numFmtId="0" fontId="83" fillId="36" borderId="6" xfId="0" applyFont="1" applyFill="1" applyBorder="1" applyAlignment="1">
      <alignment horizontal="left"/>
    </xf>
    <xf numFmtId="0" fontId="84" fillId="36" borderId="6" xfId="0" applyFont="1" applyFill="1" applyBorder="1" applyAlignment="1">
      <alignment horizontal="left"/>
    </xf>
    <xf numFmtId="168" fontId="84" fillId="36" borderId="6" xfId="0" applyNumberFormat="1" applyFont="1" applyFill="1" applyBorder="1"/>
    <xf numFmtId="168" fontId="84" fillId="36" borderId="38" xfId="0" applyNumberFormat="1" applyFont="1" applyFill="1" applyBorder="1"/>
    <xf numFmtId="0" fontId="65" fillId="34" borderId="0" xfId="0" applyFont="1" applyFill="1" applyAlignment="1">
      <alignment vertical="center"/>
    </xf>
    <xf numFmtId="169" fontId="65" fillId="34" borderId="0" xfId="1" applyNumberFormat="1" applyFont="1" applyFill="1" applyBorder="1" applyAlignment="1">
      <alignment vertical="center"/>
    </xf>
    <xf numFmtId="0" fontId="74" fillId="34" borderId="0" xfId="0" applyFont="1" applyFill="1" applyAlignment="1">
      <alignment horizontal="center" vertical="center"/>
    </xf>
    <xf numFmtId="0" fontId="4" fillId="0" borderId="0" xfId="0" applyFont="1" applyAlignment="1">
      <alignment horizontal="left" vertical="top" wrapText="1"/>
    </xf>
    <xf numFmtId="0" fontId="101" fillId="0" borderId="0" xfId="0" applyFont="1" applyAlignment="1">
      <alignment vertical="center" wrapText="1"/>
    </xf>
    <xf numFmtId="0" fontId="84" fillId="0" borderId="0" xfId="0" applyFont="1" applyAlignment="1">
      <alignment vertical="center"/>
    </xf>
    <xf numFmtId="0" fontId="84" fillId="0" borderId="1" xfId="0" applyFont="1" applyBorder="1" applyAlignment="1">
      <alignment vertical="center" wrapText="1"/>
    </xf>
    <xf numFmtId="164" fontId="6" fillId="0" borderId="1" xfId="1" applyFont="1" applyFill="1" applyBorder="1" applyAlignment="1">
      <alignment horizontal="left" vertical="center"/>
    </xf>
    <xf numFmtId="0" fontId="84" fillId="0" borderId="1" xfId="0" applyFont="1" applyBorder="1" applyAlignment="1">
      <alignment horizontal="left" vertical="center" wrapText="1"/>
    </xf>
    <xf numFmtId="0" fontId="7" fillId="0" borderId="38" xfId="0" applyFont="1" applyBorder="1" applyAlignment="1">
      <alignment horizontal="center" vertical="center" wrapText="1"/>
    </xf>
    <xf numFmtId="0" fontId="101" fillId="0" borderId="1" xfId="0" applyFont="1" applyBorder="1" applyAlignment="1">
      <alignment vertical="center" wrapText="1"/>
    </xf>
    <xf numFmtId="0" fontId="84" fillId="0" borderId="1" xfId="0" applyFont="1" applyBorder="1" applyAlignment="1">
      <alignment vertical="center"/>
    </xf>
    <xf numFmtId="166" fontId="84" fillId="0" borderId="1" xfId="1" applyNumberFormat="1" applyFont="1" applyFill="1" applyBorder="1" applyAlignment="1">
      <alignment vertical="center"/>
    </xf>
    <xf numFmtId="0" fontId="102" fillId="0" borderId="1" xfId="3" applyFont="1" applyFill="1" applyBorder="1" applyAlignment="1">
      <alignment vertical="center"/>
    </xf>
    <xf numFmtId="0" fontId="84" fillId="0" borderId="1" xfId="0" applyFont="1" applyBorder="1"/>
    <xf numFmtId="0" fontId="4" fillId="0" borderId="1" xfId="0" applyFont="1" applyBorder="1" applyAlignment="1">
      <alignment vertical="center" wrapText="1"/>
    </xf>
    <xf numFmtId="164" fontId="65" fillId="35" borderId="1" xfId="1" applyFont="1" applyFill="1" applyBorder="1" applyAlignment="1">
      <alignment wrapText="1"/>
    </xf>
    <xf numFmtId="0" fontId="65" fillId="34" borderId="0" xfId="0" applyFont="1" applyFill="1"/>
    <xf numFmtId="0" fontId="4" fillId="0" borderId="0" xfId="0" applyFont="1"/>
    <xf numFmtId="0" fontId="93" fillId="34" borderId="1" xfId="0" applyFont="1" applyFill="1" applyBorder="1"/>
    <xf numFmtId="0" fontId="4" fillId="0" borderId="0" xfId="0" applyFont="1" applyAlignment="1">
      <alignment vertical="center"/>
    </xf>
    <xf numFmtId="0" fontId="84" fillId="0" borderId="1" xfId="0" applyFont="1" applyBorder="1" applyAlignment="1">
      <alignment horizontal="left" vertical="center" wrapText="1" indent="1"/>
    </xf>
    <xf numFmtId="0" fontId="89" fillId="34" borderId="0" xfId="3" applyFont="1" applyFill="1" applyBorder="1" applyAlignment="1">
      <alignment horizontal="left"/>
    </xf>
    <xf numFmtId="0" fontId="0" fillId="34" borderId="0" xfId="0" applyFill="1"/>
    <xf numFmtId="0" fontId="12" fillId="34" borderId="0" xfId="0" applyFont="1" applyFill="1" applyAlignment="1">
      <alignment vertical="center"/>
    </xf>
    <xf numFmtId="169" fontId="69" fillId="34" borderId="0" xfId="1" applyNumberFormat="1" applyFont="1" applyFill="1" applyBorder="1" applyAlignment="1">
      <alignment horizontal="center" vertical="center" wrapText="1"/>
    </xf>
    <xf numFmtId="0" fontId="12" fillId="34" borderId="0" xfId="0" applyFont="1" applyFill="1"/>
    <xf numFmtId="0" fontId="86" fillId="0" borderId="0" xfId="0" applyFont="1" applyAlignment="1">
      <alignment horizontal="left" vertical="center"/>
    </xf>
    <xf numFmtId="167" fontId="6" fillId="0" borderId="0" xfId="1" applyNumberFormat="1" applyFont="1" applyFill="1" applyBorder="1" applyAlignment="1">
      <alignment vertical="center"/>
    </xf>
    <xf numFmtId="0" fontId="4" fillId="0" borderId="2" xfId="0" applyFont="1" applyBorder="1" applyAlignment="1">
      <alignment vertical="center" wrapText="1"/>
    </xf>
    <xf numFmtId="0" fontId="66" fillId="0" borderId="0" xfId="0" applyFont="1" applyAlignment="1">
      <alignment horizontal="center" vertical="center" wrapText="1"/>
    </xf>
    <xf numFmtId="0" fontId="0" fillId="0" borderId="0" xfId="0" applyAlignment="1">
      <alignment horizontal="left" vertical="center" wrapText="1"/>
    </xf>
    <xf numFmtId="165" fontId="65" fillId="34" borderId="0" xfId="1" applyNumberFormat="1" applyFont="1" applyFill="1" applyBorder="1" applyAlignment="1">
      <alignment vertical="center"/>
    </xf>
    <xf numFmtId="0" fontId="88" fillId="34" borderId="0" xfId="0" applyFont="1" applyFill="1" applyAlignment="1">
      <alignment vertical="center"/>
    </xf>
    <xf numFmtId="0" fontId="4" fillId="0" borderId="0" xfId="0" applyFont="1" applyAlignment="1">
      <alignment horizontal="left" vertical="center" wrapText="1"/>
    </xf>
    <xf numFmtId="11" fontId="6" fillId="0" borderId="0" xfId="1" applyNumberFormat="1" applyFont="1" applyFill="1" applyBorder="1" applyAlignment="1">
      <alignment vertical="center"/>
    </xf>
    <xf numFmtId="0" fontId="0" fillId="0" borderId="1" xfId="0" applyBorder="1" applyAlignment="1">
      <alignment vertical="center"/>
    </xf>
    <xf numFmtId="0" fontId="103" fillId="0" borderId="0" xfId="0" applyFont="1"/>
    <xf numFmtId="166" fontId="0" fillId="0" borderId="1" xfId="1" applyNumberFormat="1" applyFont="1" applyBorder="1" applyAlignment="1">
      <alignment vertical="center"/>
    </xf>
    <xf numFmtId="166" fontId="0" fillId="0" borderId="0" xfId="1" applyNumberFormat="1" applyFont="1" applyBorder="1" applyAlignment="1">
      <alignment vertical="center"/>
    </xf>
    <xf numFmtId="0" fontId="4" fillId="0" borderId="9" xfId="0" applyFont="1" applyBorder="1" applyAlignment="1">
      <alignment horizontal="center" vertical="center" wrapText="1"/>
    </xf>
    <xf numFmtId="0" fontId="66" fillId="0" borderId="1" xfId="0" applyFont="1" applyBorder="1" applyAlignment="1">
      <alignment horizontal="center" vertical="center"/>
    </xf>
    <xf numFmtId="0" fontId="4" fillId="0" borderId="1" xfId="0" applyFont="1" applyBorder="1" applyAlignment="1">
      <alignment wrapText="1"/>
    </xf>
    <xf numFmtId="0" fontId="4" fillId="34" borderId="1" xfId="0" applyFont="1" applyFill="1" applyBorder="1" applyAlignment="1">
      <alignment horizontal="center" vertical="center" wrapText="1"/>
    </xf>
    <xf numFmtId="0" fontId="55" fillId="34" borderId="1" xfId="0" applyFont="1" applyFill="1" applyBorder="1" applyAlignment="1">
      <alignment horizontal="center" vertical="center" wrapText="1"/>
    </xf>
    <xf numFmtId="0" fontId="65" fillId="34" borderId="1" xfId="0" applyFont="1" applyFill="1" applyBorder="1" applyAlignment="1">
      <alignment horizontal="center" vertical="center" wrapText="1"/>
    </xf>
    <xf numFmtId="0" fontId="106" fillId="39" borderId="1" xfId="0" applyFont="1" applyFill="1" applyBorder="1" applyAlignment="1">
      <alignment vertical="center"/>
    </xf>
    <xf numFmtId="164" fontId="0" fillId="39" borderId="1" xfId="1" applyFont="1" applyFill="1" applyBorder="1" applyAlignment="1">
      <alignment vertical="center" wrapText="1"/>
    </xf>
    <xf numFmtId="0" fontId="11" fillId="39" borderId="1" xfId="3" applyFill="1" applyBorder="1" applyAlignment="1">
      <alignment vertical="center"/>
    </xf>
    <xf numFmtId="0" fontId="0" fillId="39" borderId="1" xfId="0" applyFill="1" applyBorder="1" applyAlignment="1">
      <alignment vertical="center"/>
    </xf>
    <xf numFmtId="0" fontId="109" fillId="0" borderId="1" xfId="0" applyFont="1" applyBorder="1" applyAlignment="1">
      <alignment vertical="center" wrapText="1"/>
    </xf>
    <xf numFmtId="173" fontId="68" fillId="34" borderId="0" xfId="0" applyNumberFormat="1" applyFont="1" applyFill="1" applyAlignment="1">
      <alignment vertical="center" wrapText="1"/>
    </xf>
    <xf numFmtId="169" fontId="65" fillId="34" borderId="0" xfId="1" applyNumberFormat="1" applyFont="1" applyFill="1" applyBorder="1" applyAlignment="1">
      <alignment vertical="center" wrapText="1"/>
    </xf>
    <xf numFmtId="0" fontId="67" fillId="0" borderId="0" xfId="0" applyFont="1"/>
    <xf numFmtId="0" fontId="99" fillId="0" borderId="0" xfId="0" applyFont="1" applyAlignment="1">
      <alignment vertical="center"/>
    </xf>
    <xf numFmtId="169" fontId="55" fillId="34" borderId="0" xfId="1" applyNumberFormat="1" applyFont="1" applyFill="1" applyBorder="1" applyAlignment="1">
      <alignment vertical="center"/>
    </xf>
    <xf numFmtId="0" fontId="55" fillId="34" borderId="0" xfId="0" applyFont="1" applyFill="1" applyAlignment="1">
      <alignment vertical="center"/>
    </xf>
    <xf numFmtId="0" fontId="55" fillId="34" borderId="0" xfId="0" applyFont="1" applyFill="1" applyAlignment="1">
      <alignment horizontal="center" vertical="center"/>
    </xf>
    <xf numFmtId="0" fontId="99" fillId="34" borderId="0" xfId="0" applyFont="1" applyFill="1" applyAlignment="1">
      <alignment vertical="center"/>
    </xf>
    <xf numFmtId="0" fontId="4" fillId="34" borderId="1" xfId="0" applyFont="1" applyFill="1" applyBorder="1" applyAlignment="1">
      <alignment horizontal="center" vertical="center"/>
    </xf>
    <xf numFmtId="169" fontId="55" fillId="32" borderId="1" xfId="0" applyNumberFormat="1" applyFont="1" applyFill="1" applyBorder="1" applyAlignment="1">
      <alignment horizontal="center" vertical="center"/>
    </xf>
    <xf numFmtId="174" fontId="6" fillId="34" borderId="0" xfId="0" applyNumberFormat="1" applyFont="1" applyFill="1" applyAlignment="1">
      <alignment vertical="center"/>
    </xf>
    <xf numFmtId="0" fontId="7" fillId="34" borderId="0" xfId="0" applyFont="1" applyFill="1" applyAlignment="1">
      <alignment horizontal="center" vertical="center"/>
    </xf>
    <xf numFmtId="169" fontId="4" fillId="25" borderId="1" xfId="1" applyNumberFormat="1" applyFont="1" applyFill="1" applyBorder="1" applyAlignment="1">
      <alignment vertical="center" wrapText="1"/>
    </xf>
    <xf numFmtId="0" fontId="4" fillId="35" borderId="1" xfId="0" applyFont="1" applyFill="1" applyBorder="1"/>
    <xf numFmtId="0" fontId="4" fillId="35" borderId="1" xfId="0" applyFont="1" applyFill="1" applyBorder="1" applyAlignment="1">
      <alignment vertical="center" wrapText="1"/>
    </xf>
    <xf numFmtId="164" fontId="65" fillId="32" borderId="1" xfId="1" applyFont="1" applyFill="1" applyBorder="1" applyAlignment="1">
      <alignment vertical="center" wrapText="1"/>
    </xf>
    <xf numFmtId="164" fontId="65" fillId="6" borderId="1" xfId="1" applyFont="1" applyFill="1" applyBorder="1" applyAlignment="1">
      <alignment vertical="center" wrapText="1"/>
    </xf>
    <xf numFmtId="0" fontId="66" fillId="0" borderId="1" xfId="0" applyFont="1" applyBorder="1" applyAlignment="1">
      <alignment vertical="center" wrapText="1"/>
    </xf>
    <xf numFmtId="169" fontId="4" fillId="32" borderId="1" xfId="0" applyNumberFormat="1" applyFont="1" applyFill="1" applyBorder="1" applyAlignment="1">
      <alignment wrapText="1"/>
    </xf>
    <xf numFmtId="169" fontId="4" fillId="32" borderId="1" xfId="0" applyNumberFormat="1" applyFont="1" applyFill="1" applyBorder="1" applyAlignment="1">
      <alignment vertical="center" wrapText="1"/>
    </xf>
    <xf numFmtId="0" fontId="4" fillId="0" borderId="0" xfId="0" applyFont="1" applyAlignment="1">
      <alignment vertical="center" wrapText="1"/>
    </xf>
    <xf numFmtId="0" fontId="65" fillId="34" borderId="55" xfId="0" applyFont="1" applyFill="1" applyBorder="1" applyAlignment="1">
      <alignment vertical="center"/>
    </xf>
    <xf numFmtId="0" fontId="65" fillId="34" borderId="56" xfId="0" applyFont="1" applyFill="1" applyBorder="1" applyAlignment="1">
      <alignment vertical="center"/>
    </xf>
    <xf numFmtId="0" fontId="6" fillId="34" borderId="1" xfId="0" applyFont="1" applyFill="1" applyBorder="1" applyAlignment="1">
      <alignment vertical="center" wrapText="1"/>
    </xf>
    <xf numFmtId="0" fontId="4" fillId="26" borderId="1" xfId="0" applyFont="1" applyFill="1" applyBorder="1" applyAlignment="1">
      <alignment vertical="center"/>
    </xf>
    <xf numFmtId="0" fontId="4" fillId="26" borderId="1" xfId="0" applyFont="1" applyFill="1" applyBorder="1" applyAlignment="1">
      <alignment vertical="center" wrapText="1"/>
    </xf>
    <xf numFmtId="0" fontId="65" fillId="23" borderId="2" xfId="0" applyFont="1" applyFill="1" applyBorder="1" applyAlignment="1">
      <alignment horizontal="center" vertical="center" wrapText="1"/>
    </xf>
    <xf numFmtId="3" fontId="65" fillId="26" borderId="1" xfId="0" applyNumberFormat="1" applyFont="1" applyFill="1" applyBorder="1" applyAlignment="1">
      <alignment vertical="center" wrapText="1"/>
    </xf>
    <xf numFmtId="2" fontId="65" fillId="0" borderId="0" xfId="0" applyNumberFormat="1" applyFont="1" applyAlignment="1">
      <alignment vertical="center"/>
    </xf>
    <xf numFmtId="165" fontId="65" fillId="27" borderId="1" xfId="1" applyNumberFormat="1" applyFont="1" applyFill="1" applyBorder="1" applyAlignment="1">
      <alignment vertical="center"/>
    </xf>
    <xf numFmtId="0" fontId="65" fillId="0" borderId="61" xfId="0" applyFont="1" applyBorder="1" applyAlignment="1">
      <alignment horizontal="center" vertical="center"/>
    </xf>
    <xf numFmtId="175" fontId="6" fillId="0" borderId="1" xfId="1" applyNumberFormat="1" applyFont="1" applyFill="1" applyBorder="1" applyAlignment="1">
      <alignment vertical="center"/>
    </xf>
    <xf numFmtId="176" fontId="65" fillId="24" borderId="1" xfId="1" applyNumberFormat="1" applyFont="1" applyFill="1" applyBorder="1" applyAlignment="1">
      <alignment vertical="center"/>
    </xf>
    <xf numFmtId="0" fontId="0" fillId="0" borderId="26" xfId="0" applyBorder="1"/>
    <xf numFmtId="0" fontId="91" fillId="0" borderId="0" xfId="0" applyFont="1" applyAlignment="1">
      <alignment horizontal="center" vertical="center" wrapText="1"/>
    </xf>
    <xf numFmtId="0" fontId="0" fillId="0" borderId="96" xfId="0" applyBorder="1"/>
    <xf numFmtId="0" fontId="0" fillId="0" borderId="51" xfId="0" applyBorder="1"/>
    <xf numFmtId="164" fontId="65" fillId="0" borderId="0" xfId="0" applyNumberFormat="1" applyFont="1" applyAlignment="1">
      <alignment vertical="center"/>
    </xf>
    <xf numFmtId="9" fontId="65" fillId="35" borderId="1" xfId="1" applyNumberFormat="1" applyFont="1" applyFill="1" applyBorder="1" applyAlignment="1">
      <alignment vertical="center" wrapText="1"/>
    </xf>
    <xf numFmtId="178" fontId="69" fillId="28" borderId="43" xfId="1" applyNumberFormat="1" applyFont="1" applyFill="1" applyBorder="1" applyAlignment="1">
      <alignment horizontal="center" vertical="center" wrapText="1"/>
    </xf>
    <xf numFmtId="178" fontId="69" fillId="2" borderId="62" xfId="1" applyNumberFormat="1" applyFont="1" applyFill="1" applyBorder="1" applyAlignment="1">
      <alignment horizontal="center" vertical="center" wrapText="1"/>
    </xf>
    <xf numFmtId="0" fontId="0" fillId="0" borderId="4" xfId="0" applyBorder="1"/>
    <xf numFmtId="0" fontId="65" fillId="23" borderId="1" xfId="0" applyFont="1" applyFill="1" applyBorder="1" applyAlignment="1">
      <alignment wrapText="1"/>
    </xf>
    <xf numFmtId="0" fontId="65" fillId="26" borderId="1" xfId="0" applyFont="1" applyFill="1" applyBorder="1" applyAlignment="1">
      <alignment wrapText="1"/>
    </xf>
    <xf numFmtId="0" fontId="4" fillId="24" borderId="1" xfId="0" applyFont="1" applyFill="1" applyBorder="1" applyAlignment="1">
      <alignment horizontal="left" vertical="center" wrapText="1"/>
    </xf>
    <xf numFmtId="0" fontId="65" fillId="0" borderId="61" xfId="0" applyFont="1" applyBorder="1" applyAlignment="1">
      <alignment vertical="center" wrapText="1"/>
    </xf>
    <xf numFmtId="0" fontId="65" fillId="0" borderId="63" xfId="0" applyFont="1" applyBorder="1" applyAlignment="1">
      <alignment vertical="center" wrapText="1"/>
    </xf>
    <xf numFmtId="164" fontId="111" fillId="34" borderId="1" xfId="1" applyFont="1" applyFill="1" applyBorder="1" applyAlignment="1">
      <alignment vertical="center" wrapText="1"/>
    </xf>
    <xf numFmtId="0" fontId="0" fillId="34" borderId="1" xfId="0" applyFill="1" applyBorder="1"/>
    <xf numFmtId="166" fontId="0" fillId="34" borderId="1" xfId="0" applyNumberFormat="1" applyFill="1" applyBorder="1"/>
    <xf numFmtId="166" fontId="6" fillId="34" borderId="1" xfId="10" applyNumberFormat="1" applyFont="1" applyFill="1" applyBorder="1" applyAlignment="1">
      <alignment vertical="center"/>
    </xf>
    <xf numFmtId="164" fontId="6" fillId="34" borderId="1" xfId="1" applyFont="1" applyFill="1" applyBorder="1" applyAlignment="1">
      <alignment vertical="center"/>
    </xf>
    <xf numFmtId="0" fontId="6" fillId="34" borderId="1" xfId="10" applyNumberFormat="1" applyFont="1" applyFill="1" applyBorder="1" applyAlignment="1">
      <alignment vertical="center"/>
    </xf>
    <xf numFmtId="0" fontId="106" fillId="34" borderId="1" xfId="0" applyFont="1" applyFill="1" applyBorder="1" applyAlignment="1">
      <alignment vertical="center"/>
    </xf>
    <xf numFmtId="164" fontId="0" fillId="34" borderId="1" xfId="1" applyFont="1" applyFill="1" applyBorder="1" applyAlignment="1">
      <alignment vertical="center" wrapText="1"/>
    </xf>
    <xf numFmtId="0" fontId="43" fillId="34" borderId="1" xfId="0" applyFont="1" applyFill="1" applyBorder="1" applyAlignment="1">
      <alignment vertical="center" wrapText="1"/>
    </xf>
    <xf numFmtId="0" fontId="11" fillId="34" borderId="1" xfId="3" applyFill="1" applyBorder="1" applyAlignment="1">
      <alignment vertical="center"/>
    </xf>
    <xf numFmtId="9" fontId="4" fillId="26" borderId="1" xfId="2" applyFont="1" applyFill="1" applyBorder="1" applyAlignment="1">
      <alignment vertical="center"/>
    </xf>
    <xf numFmtId="0" fontId="112" fillId="35" borderId="1" xfId="0" applyFont="1" applyFill="1" applyBorder="1" applyAlignment="1">
      <alignment horizontal="center" vertical="center"/>
    </xf>
    <xf numFmtId="0" fontId="112" fillId="35" borderId="1" xfId="0" applyFont="1" applyFill="1" applyBorder="1" applyAlignment="1">
      <alignment vertical="center"/>
    </xf>
    <xf numFmtId="0" fontId="112" fillId="35" borderId="1" xfId="0" applyFont="1" applyFill="1" applyBorder="1" applyAlignment="1">
      <alignment horizontal="center"/>
    </xf>
    <xf numFmtId="0" fontId="112" fillId="35" borderId="1" xfId="0" applyFont="1" applyFill="1" applyBorder="1" applyAlignment="1">
      <alignment wrapText="1"/>
    </xf>
    <xf numFmtId="0" fontId="112" fillId="35" borderId="1" xfId="0" applyFont="1" applyFill="1" applyBorder="1"/>
    <xf numFmtId="0" fontId="113" fillId="35" borderId="1" xfId="3" applyFont="1" applyFill="1" applyBorder="1" applyAlignment="1">
      <alignment wrapText="1"/>
    </xf>
    <xf numFmtId="0" fontId="86" fillId="0" borderId="1" xfId="0" applyFont="1" applyBorder="1" applyAlignment="1">
      <alignment horizontal="center" vertical="center"/>
    </xf>
    <xf numFmtId="0" fontId="3" fillId="0" borderId="1" xfId="0" applyFont="1" applyBorder="1" applyAlignment="1">
      <alignment horizontal="center" vertical="center" wrapText="1"/>
    </xf>
    <xf numFmtId="0" fontId="65" fillId="0" borderId="0" xfId="0" applyFont="1" applyAlignment="1">
      <alignment horizontal="left" vertical="center" wrapText="1" indent="5"/>
    </xf>
    <xf numFmtId="0" fontId="2" fillId="0" borderId="0" xfId="0" applyFont="1" applyAlignment="1">
      <alignment horizontal="left" vertical="center" wrapText="1" indent="5"/>
    </xf>
    <xf numFmtId="0" fontId="115" fillId="7" borderId="89" xfId="0" applyFont="1" applyFill="1" applyBorder="1" applyAlignment="1">
      <alignment horizontal="center" vertical="center"/>
    </xf>
    <xf numFmtId="178" fontId="115" fillId="7" borderId="89" xfId="0" applyNumberFormat="1" applyFont="1" applyFill="1" applyBorder="1" applyAlignment="1">
      <alignment horizontal="center" vertical="center"/>
    </xf>
    <xf numFmtId="0" fontId="0" fillId="40" borderId="1" xfId="0" applyFill="1" applyBorder="1"/>
    <xf numFmtId="166" fontId="0" fillId="40" borderId="1" xfId="0" applyNumberFormat="1" applyFill="1" applyBorder="1"/>
    <xf numFmtId="0" fontId="6" fillId="40" borderId="1" xfId="0" applyFont="1" applyFill="1" applyBorder="1" applyAlignment="1">
      <alignment vertical="center"/>
    </xf>
    <xf numFmtId="167" fontId="0" fillId="40" borderId="1" xfId="0" applyNumberFormat="1" applyFill="1" applyBorder="1"/>
    <xf numFmtId="0" fontId="84" fillId="40" borderId="1" xfId="0" applyFont="1" applyFill="1" applyBorder="1" applyAlignment="1">
      <alignment vertical="center"/>
    </xf>
    <xf numFmtId="166" fontId="6" fillId="0" borderId="1" xfId="10" applyNumberFormat="1" applyFont="1" applyFill="1" applyBorder="1" applyAlignment="1">
      <alignment vertical="center"/>
    </xf>
    <xf numFmtId="166" fontId="0" fillId="0" borderId="1" xfId="0" applyNumberFormat="1" applyBorder="1"/>
    <xf numFmtId="0" fontId="43" fillId="40" borderId="1" xfId="0" applyFont="1" applyFill="1" applyBorder="1"/>
    <xf numFmtId="166" fontId="7" fillId="40" borderId="1" xfId="10" applyNumberFormat="1" applyFont="1" applyFill="1" applyBorder="1" applyAlignment="1">
      <alignment vertical="center"/>
    </xf>
    <xf numFmtId="0" fontId="7" fillId="40" borderId="1" xfId="0" applyFont="1" applyFill="1" applyBorder="1" applyAlignment="1">
      <alignment vertical="center"/>
    </xf>
    <xf numFmtId="0" fontId="2" fillId="0" borderId="1" xfId="0" applyFont="1" applyBorder="1" applyAlignment="1">
      <alignment horizontal="center" vertical="center" wrapText="1"/>
    </xf>
    <xf numFmtId="0" fontId="86" fillId="0" borderId="55" xfId="0" applyFont="1" applyBorder="1" applyAlignment="1">
      <alignment wrapText="1"/>
    </xf>
    <xf numFmtId="0" fontId="0" fillId="0" borderId="55" xfId="0" applyBorder="1" applyAlignment="1">
      <alignment wrapText="1"/>
    </xf>
    <xf numFmtId="0" fontId="64" fillId="21" borderId="60" xfId="0" applyFont="1" applyFill="1" applyBorder="1" applyAlignment="1">
      <alignment horizontal="left" vertical="center" wrapText="1"/>
    </xf>
    <xf numFmtId="0" fontId="64" fillId="21" borderId="61" xfId="0" applyFont="1" applyFill="1" applyBorder="1" applyAlignment="1">
      <alignment horizontal="left" vertical="center" wrapText="1"/>
    </xf>
    <xf numFmtId="0" fontId="64" fillId="21" borderId="63" xfId="0" applyFont="1" applyFill="1" applyBorder="1" applyAlignment="1">
      <alignment horizontal="left" vertical="center" wrapText="1"/>
    </xf>
    <xf numFmtId="0" fontId="53" fillId="21" borderId="44" xfId="0" applyFont="1" applyFill="1" applyBorder="1" applyAlignment="1">
      <alignment horizontal="center" vertical="center" wrapText="1"/>
    </xf>
    <xf numFmtId="0" fontId="53" fillId="21" borderId="45" xfId="0" applyFont="1" applyFill="1" applyBorder="1" applyAlignment="1">
      <alignment horizontal="center" vertical="center" wrapText="1"/>
    </xf>
    <xf numFmtId="0" fontId="53" fillId="21" borderId="46" xfId="0" applyFont="1" applyFill="1" applyBorder="1" applyAlignment="1">
      <alignment horizontal="center" vertical="center" wrapText="1"/>
    </xf>
    <xf numFmtId="0" fontId="56" fillId="5" borderId="47" xfId="0" applyFont="1" applyFill="1" applyBorder="1" applyAlignment="1">
      <alignment horizontal="left" vertical="center" wrapText="1"/>
    </xf>
    <xf numFmtId="0" fontId="56" fillId="5" borderId="0" xfId="0" applyFont="1" applyFill="1" applyAlignment="1">
      <alignment horizontal="left" vertical="center" wrapText="1"/>
    </xf>
    <xf numFmtId="0" fontId="56" fillId="5" borderId="48" xfId="0" applyFont="1" applyFill="1" applyBorder="1" applyAlignment="1">
      <alignment horizontal="left" vertical="center" wrapText="1"/>
    </xf>
    <xf numFmtId="0" fontId="56" fillId="7" borderId="47" xfId="0" applyFont="1" applyFill="1" applyBorder="1" applyAlignment="1">
      <alignment horizontal="left" vertical="center" wrapText="1"/>
    </xf>
    <xf numFmtId="0" fontId="56" fillId="7" borderId="0" xfId="0" applyFont="1" applyFill="1" applyAlignment="1">
      <alignment horizontal="left" vertical="center" wrapText="1"/>
    </xf>
    <xf numFmtId="0" fontId="56" fillId="7" borderId="48" xfId="0" applyFont="1" applyFill="1" applyBorder="1" applyAlignment="1">
      <alignment horizontal="left" vertical="center" wrapText="1"/>
    </xf>
    <xf numFmtId="0" fontId="55" fillId="0" borderId="47" xfId="0" applyFont="1" applyBorder="1" applyAlignment="1">
      <alignment horizontal="left" wrapText="1"/>
    </xf>
    <xf numFmtId="0" fontId="55" fillId="0" borderId="0" xfId="0" applyFont="1" applyAlignment="1">
      <alignment horizontal="left" wrapText="1"/>
    </xf>
    <xf numFmtId="0" fontId="55" fillId="0" borderId="48" xfId="0" applyFont="1" applyBorder="1" applyAlignment="1">
      <alignment horizontal="left" wrapText="1"/>
    </xf>
    <xf numFmtId="0" fontId="2" fillId="0" borderId="47" xfId="0" applyFont="1" applyBorder="1" applyAlignment="1">
      <alignment horizontal="left" wrapText="1"/>
    </xf>
    <xf numFmtId="0" fontId="54" fillId="22" borderId="47" xfId="0" applyFont="1" applyFill="1" applyBorder="1" applyAlignment="1">
      <alignment horizontal="center"/>
    </xf>
    <xf numFmtId="0" fontId="54" fillId="22" borderId="0" xfId="0" applyFont="1" applyFill="1" applyAlignment="1">
      <alignment horizontal="center"/>
    </xf>
    <xf numFmtId="0" fontId="54" fillId="22" borderId="48" xfId="0" applyFont="1" applyFill="1" applyBorder="1" applyAlignment="1">
      <alignment horizontal="center"/>
    </xf>
    <xf numFmtId="0" fontId="56" fillId="31" borderId="0" xfId="0" applyFont="1" applyFill="1" applyAlignment="1">
      <alignment horizontal="left" vertical="center" wrapText="1"/>
    </xf>
    <xf numFmtId="0" fontId="4" fillId="0" borderId="47" xfId="0" applyFont="1" applyBorder="1" applyAlignment="1">
      <alignment horizontal="left" wrapText="1"/>
    </xf>
    <xf numFmtId="0" fontId="4" fillId="0" borderId="0" xfId="0" applyFont="1" applyAlignment="1">
      <alignment horizontal="left" wrapText="1"/>
    </xf>
    <xf numFmtId="0" fontId="4" fillId="0" borderId="48" xfId="0" applyFont="1" applyBorder="1" applyAlignment="1">
      <alignment horizontal="left" wrapText="1"/>
    </xf>
    <xf numFmtId="0" fontId="79" fillId="0" borderId="0" xfId="0" quotePrefix="1" applyFont="1" applyAlignment="1">
      <alignment horizontal="left" vertical="center" wrapText="1"/>
    </xf>
    <xf numFmtId="0" fontId="63" fillId="21" borderId="60" xfId="0" applyFont="1" applyFill="1" applyBorder="1" applyAlignment="1">
      <alignment horizontal="center" vertical="center" wrapText="1"/>
    </xf>
    <xf numFmtId="0" fontId="63" fillId="21" borderId="61" xfId="0" applyFont="1" applyFill="1" applyBorder="1" applyAlignment="1">
      <alignment horizontal="center" vertical="center" wrapText="1"/>
    </xf>
    <xf numFmtId="0" fontId="63" fillId="21" borderId="63" xfId="0" applyFont="1" applyFill="1" applyBorder="1" applyAlignment="1">
      <alignment horizontal="center" vertical="center" wrapText="1"/>
    </xf>
    <xf numFmtId="0" fontId="71" fillId="0" borderId="79" xfId="0" applyFont="1" applyBorder="1" applyAlignment="1">
      <alignment horizontal="center" vertical="top" wrapText="1"/>
    </xf>
    <xf numFmtId="0" fontId="71" fillId="0" borderId="84" xfId="0" applyFont="1" applyBorder="1" applyAlignment="1">
      <alignment horizontal="center" vertical="top" wrapText="1"/>
    </xf>
    <xf numFmtId="0" fontId="71" fillId="0" borderId="80" xfId="0" applyFont="1" applyBorder="1" applyAlignment="1">
      <alignment horizontal="center" vertical="top" wrapText="1"/>
    </xf>
    <xf numFmtId="0" fontId="71" fillId="0" borderId="56" xfId="0" applyFont="1" applyBorder="1" applyAlignment="1">
      <alignment horizontal="center" vertical="top" wrapText="1"/>
    </xf>
    <xf numFmtId="0" fontId="65" fillId="0" borderId="0" xfId="0" applyFont="1" applyAlignment="1">
      <alignment horizontal="left"/>
    </xf>
    <xf numFmtId="0" fontId="65" fillId="0" borderId="0" xfId="0" quotePrefix="1" applyFont="1" applyAlignment="1">
      <alignment horizontal="left" vertical="center" wrapText="1"/>
    </xf>
    <xf numFmtId="0" fontId="2" fillId="0" borderId="0" xfId="0" applyFont="1" applyAlignment="1">
      <alignment horizontal="left" vertical="center" wrapText="1" indent="5"/>
    </xf>
    <xf numFmtId="0" fontId="65" fillId="0" borderId="0" xfId="0" applyFont="1" applyAlignment="1">
      <alignment horizontal="left" vertical="center" wrapText="1" indent="5"/>
    </xf>
    <xf numFmtId="0" fontId="65" fillId="0" borderId="0" xfId="0" quotePrefix="1" applyFont="1" applyAlignment="1">
      <alignment horizontal="left"/>
    </xf>
    <xf numFmtId="0" fontId="65" fillId="0" borderId="0" xfId="0" quotePrefix="1" applyFont="1" applyAlignment="1">
      <alignment horizontal="left" wrapText="1"/>
    </xf>
    <xf numFmtId="0" fontId="68" fillId="0" borderId="0" xfId="0" applyFont="1" applyAlignment="1">
      <alignment horizontal="left" vertical="center" wrapTex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66" fillId="0" borderId="2" xfId="0" applyFont="1" applyBorder="1" applyAlignment="1">
      <alignment horizontal="left" vertical="center" wrapText="1"/>
    </xf>
    <xf numFmtId="0" fontId="66" fillId="0" borderId="4" xfId="0" applyFont="1" applyBorder="1" applyAlignment="1">
      <alignment horizontal="left" vertical="center" wrapText="1"/>
    </xf>
    <xf numFmtId="0" fontId="63" fillId="21" borderId="50" xfId="0" applyFont="1" applyFill="1" applyBorder="1" applyAlignment="1">
      <alignment horizontal="center" vertical="center" wrapText="1"/>
    </xf>
    <xf numFmtId="0" fontId="53" fillId="21" borderId="50" xfId="0" applyFont="1" applyFill="1" applyBorder="1" applyAlignment="1">
      <alignment horizontal="center" vertical="center" wrapText="1"/>
    </xf>
    <xf numFmtId="0" fontId="66" fillId="0" borderId="1" xfId="0" applyFont="1" applyBorder="1" applyAlignment="1">
      <alignment horizontal="left" vertical="center" wrapText="1"/>
    </xf>
    <xf numFmtId="0" fontId="66" fillId="0" borderId="6" xfId="0" applyFont="1" applyBorder="1" applyAlignment="1">
      <alignment horizontal="left" vertical="center" wrapText="1"/>
    </xf>
    <xf numFmtId="0" fontId="66" fillId="0" borderId="8" xfId="0" applyFont="1" applyBorder="1" applyAlignment="1">
      <alignment horizontal="left" vertical="center" wrapText="1"/>
    </xf>
    <xf numFmtId="0" fontId="66" fillId="0" borderId="26" xfId="0" applyFont="1" applyBorder="1" applyAlignment="1">
      <alignment horizontal="left" vertical="center" wrapText="1"/>
    </xf>
    <xf numFmtId="0" fontId="66" fillId="0" borderId="51" xfId="0" applyFont="1" applyBorder="1" applyAlignment="1">
      <alignment horizontal="left" vertical="center" wrapText="1"/>
    </xf>
    <xf numFmtId="0" fontId="66" fillId="0" borderId="10" xfId="0" applyFont="1" applyBorder="1" applyAlignment="1">
      <alignment horizontal="left" vertical="center" wrapText="1"/>
    </xf>
    <xf numFmtId="0" fontId="66" fillId="0" borderId="12" xfId="0" applyFont="1" applyBorder="1" applyAlignment="1">
      <alignment horizontal="left" vertical="center" wrapText="1"/>
    </xf>
    <xf numFmtId="0" fontId="63" fillId="30" borderId="86" xfId="0" applyFont="1" applyFill="1" applyBorder="1" applyAlignment="1">
      <alignment horizontal="center" vertical="center" wrapText="1"/>
    </xf>
    <xf numFmtId="0" fontId="63" fillId="30" borderId="87" xfId="0" applyFont="1" applyFill="1" applyBorder="1" applyAlignment="1">
      <alignment horizontal="center" vertical="center" wrapText="1"/>
    </xf>
    <xf numFmtId="0" fontId="63" fillId="30" borderId="88" xfId="0" applyFont="1" applyFill="1" applyBorder="1" applyAlignment="1">
      <alignment horizontal="center" vertical="center" wrapText="1"/>
    </xf>
    <xf numFmtId="0" fontId="4" fillId="27" borderId="6" xfId="0" applyFont="1" applyFill="1" applyBorder="1" applyAlignment="1">
      <alignment horizontal="center" vertical="center" wrapText="1"/>
    </xf>
    <xf numFmtId="0" fontId="65" fillId="27" borderId="7" xfId="0" applyFont="1" applyFill="1" applyBorder="1" applyAlignment="1">
      <alignment horizontal="center" vertical="center" wrapText="1"/>
    </xf>
    <xf numFmtId="0" fontId="65" fillId="27" borderId="8" xfId="0" applyFont="1" applyFill="1" applyBorder="1" applyAlignment="1">
      <alignment horizontal="center" vertical="center" wrapText="1"/>
    </xf>
    <xf numFmtId="0" fontId="65" fillId="27" borderId="26" xfId="0" applyFont="1" applyFill="1" applyBorder="1" applyAlignment="1">
      <alignment horizontal="center" vertical="center" wrapText="1"/>
    </xf>
    <xf numFmtId="0" fontId="65" fillId="27" borderId="0" xfId="0" applyFont="1" applyFill="1" applyAlignment="1">
      <alignment horizontal="center" vertical="center" wrapText="1"/>
    </xf>
    <xf numFmtId="0" fontId="65" fillId="27" borderId="5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11"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81" fillId="0" borderId="77" xfId="0" applyFont="1" applyBorder="1" applyAlignment="1">
      <alignment horizontal="left" vertical="top"/>
    </xf>
    <xf numFmtId="0" fontId="81" fillId="0" borderId="7" xfId="0" applyFont="1" applyBorder="1" applyAlignment="1">
      <alignment horizontal="left" vertical="top"/>
    </xf>
    <xf numFmtId="0" fontId="81" fillId="0" borderId="78" xfId="0" applyFont="1" applyBorder="1" applyAlignment="1">
      <alignment horizontal="left" vertical="top"/>
    </xf>
    <xf numFmtId="0" fontId="81" fillId="0" borderId="77" xfId="0" applyFont="1" applyBorder="1" applyAlignment="1">
      <alignment horizontal="left" wrapText="1"/>
    </xf>
    <xf numFmtId="0" fontId="81" fillId="0" borderId="7" xfId="0" applyFont="1" applyBorder="1" applyAlignment="1">
      <alignment horizontal="left" wrapText="1"/>
    </xf>
    <xf numFmtId="0" fontId="81" fillId="0" borderId="78" xfId="0" applyFont="1" applyBorder="1" applyAlignment="1">
      <alignment horizontal="left" wrapText="1"/>
    </xf>
    <xf numFmtId="0" fontId="0" fillId="6" borderId="55" xfId="0" applyFill="1" applyBorder="1" applyAlignment="1">
      <alignment horizontal="left"/>
    </xf>
    <xf numFmtId="0" fontId="0" fillId="6" borderId="0" xfId="0" applyFill="1" applyAlignment="1">
      <alignment horizontal="left"/>
    </xf>
    <xf numFmtId="0" fontId="0" fillId="6" borderId="56" xfId="0" applyFill="1" applyBorder="1" applyAlignment="1">
      <alignment horizontal="left"/>
    </xf>
    <xf numFmtId="169" fontId="69" fillId="2" borderId="1" xfId="1" applyNumberFormat="1" applyFont="1" applyFill="1" applyBorder="1" applyAlignment="1">
      <alignment horizontal="center" vertical="center" wrapText="1"/>
    </xf>
    <xf numFmtId="0" fontId="63" fillId="21" borderId="52" xfId="0" applyFont="1" applyFill="1" applyBorder="1" applyAlignment="1">
      <alignment horizontal="center" vertical="center" wrapText="1"/>
    </xf>
    <xf numFmtId="0" fontId="63" fillId="21" borderId="53" xfId="0" applyFont="1" applyFill="1" applyBorder="1" applyAlignment="1">
      <alignment horizontal="center" vertical="center" wrapText="1"/>
    </xf>
    <xf numFmtId="0" fontId="63" fillId="21" borderId="54" xfId="0" applyFont="1" applyFill="1" applyBorder="1" applyAlignment="1">
      <alignment horizontal="center" vertical="center" wrapText="1"/>
    </xf>
    <xf numFmtId="0" fontId="63" fillId="21" borderId="45" xfId="0" applyFont="1" applyFill="1" applyBorder="1" applyAlignment="1">
      <alignment horizontal="center" vertical="center" wrapText="1"/>
    </xf>
    <xf numFmtId="0" fontId="63" fillId="21" borderId="46" xfId="0" applyFont="1" applyFill="1" applyBorder="1" applyAlignment="1">
      <alignment horizontal="center" vertical="center" wrapText="1"/>
    </xf>
    <xf numFmtId="0" fontId="74" fillId="29" borderId="10" xfId="0" applyFont="1" applyFill="1" applyBorder="1" applyAlignment="1">
      <alignment horizontal="center" vertical="center" wrapText="1"/>
    </xf>
    <xf numFmtId="0" fontId="74" fillId="29" borderId="11" xfId="0" applyFont="1" applyFill="1" applyBorder="1" applyAlignment="1">
      <alignment horizontal="center" vertical="center" wrapText="1"/>
    </xf>
    <xf numFmtId="0" fontId="74" fillId="29" borderId="10" xfId="0" applyFont="1" applyFill="1" applyBorder="1" applyAlignment="1">
      <alignment horizontal="center" vertical="center"/>
    </xf>
    <xf numFmtId="0" fontId="74" fillId="29" borderId="11" xfId="0" applyFont="1" applyFill="1" applyBorder="1" applyAlignment="1">
      <alignment horizontal="center" vertical="center"/>
    </xf>
    <xf numFmtId="0" fontId="55" fillId="0" borderId="0" xfId="0" applyFont="1" applyAlignment="1">
      <alignment horizontal="left" vertical="center" wrapText="1"/>
    </xf>
    <xf numFmtId="0" fontId="65" fillId="0" borderId="0" xfId="0" applyFont="1" applyAlignment="1">
      <alignment horizontal="left" vertical="center" wrapText="1"/>
    </xf>
    <xf numFmtId="178" fontId="69" fillId="2" borderId="97" xfId="1" applyNumberFormat="1" applyFont="1" applyFill="1" applyBorder="1" applyAlignment="1">
      <alignment horizontal="center" vertical="center" wrapText="1"/>
    </xf>
    <xf numFmtId="178" fontId="69" fillId="2" borderId="98" xfId="1" applyNumberFormat="1" applyFont="1" applyFill="1" applyBorder="1" applyAlignment="1">
      <alignment horizontal="center" vertical="center" wrapText="1"/>
    </xf>
    <xf numFmtId="0" fontId="0" fillId="6" borderId="55" xfId="0" applyFill="1" applyBorder="1" applyAlignment="1">
      <alignment horizontal="center"/>
    </xf>
    <xf numFmtId="0" fontId="0" fillId="6" borderId="0" xfId="0" applyFill="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0" fontId="0" fillId="6" borderId="58" xfId="0" applyFill="1" applyBorder="1" applyAlignment="1">
      <alignment horizontal="center"/>
    </xf>
    <xf numFmtId="0" fontId="0" fillId="6" borderId="59" xfId="0" applyFill="1" applyBorder="1" applyAlignment="1">
      <alignment horizontal="center"/>
    </xf>
    <xf numFmtId="0" fontId="0" fillId="6" borderId="41" xfId="0" applyFill="1" applyBorder="1" applyAlignment="1">
      <alignment horizontal="center"/>
    </xf>
    <xf numFmtId="0" fontId="0" fillId="6" borderId="11" xfId="0" applyFill="1" applyBorder="1" applyAlignment="1">
      <alignment horizontal="center"/>
    </xf>
    <xf numFmtId="0" fontId="0" fillId="6" borderId="42" xfId="0" applyFill="1" applyBorder="1" applyAlignment="1">
      <alignment horizontal="center"/>
    </xf>
    <xf numFmtId="0" fontId="74" fillId="29" borderId="26" xfId="0" applyFont="1" applyFill="1" applyBorder="1" applyAlignment="1">
      <alignment horizontal="center" vertical="center"/>
    </xf>
    <xf numFmtId="0" fontId="74" fillId="29" borderId="0" xfId="0" applyFont="1" applyFill="1" applyAlignment="1">
      <alignment horizontal="center" vertical="center"/>
    </xf>
    <xf numFmtId="0" fontId="4" fillId="0" borderId="0" xfId="0" applyFont="1" applyAlignment="1">
      <alignment horizontal="left" vertical="center" wrapText="1"/>
    </xf>
    <xf numFmtId="177" fontId="69" fillId="2" borderId="97" xfId="1" applyNumberFormat="1" applyFont="1" applyFill="1" applyBorder="1" applyAlignment="1">
      <alignment horizontal="center" vertical="center" wrapText="1"/>
    </xf>
    <xf numFmtId="177" fontId="69" fillId="2" borderId="98" xfId="1" applyNumberFormat="1" applyFont="1" applyFill="1" applyBorder="1" applyAlignment="1">
      <alignment horizontal="center" vertical="center" wrapText="1"/>
    </xf>
    <xf numFmtId="0" fontId="71" fillId="5" borderId="90" xfId="0" applyFont="1" applyFill="1" applyBorder="1" applyAlignment="1">
      <alignment horizontal="center" vertical="center"/>
    </xf>
    <xf numFmtId="0" fontId="71" fillId="5" borderId="93" xfId="0" applyFont="1" applyFill="1" applyBorder="1" applyAlignment="1">
      <alignment horizontal="center" vertical="center"/>
    </xf>
    <xf numFmtId="0" fontId="53" fillId="21" borderId="60" xfId="0" applyFont="1" applyFill="1" applyBorder="1" applyAlignment="1">
      <alignment horizontal="center" vertical="center" wrapText="1"/>
    </xf>
    <xf numFmtId="0" fontId="66"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53" fillId="21" borderId="55" xfId="0" applyFont="1" applyFill="1" applyBorder="1" applyAlignment="1">
      <alignment horizontal="center" vertical="center" wrapText="1"/>
    </xf>
    <xf numFmtId="0" fontId="63" fillId="21" borderId="0" xfId="0" applyFont="1" applyFill="1" applyAlignment="1">
      <alignment horizontal="center" vertical="center" wrapText="1"/>
    </xf>
    <xf numFmtId="0" fontId="63" fillId="21" borderId="56" xfId="0" applyFont="1" applyFill="1" applyBorder="1" applyAlignment="1">
      <alignment horizontal="center" vertical="center" wrapText="1"/>
    </xf>
    <xf numFmtId="0" fontId="63" fillId="30" borderId="60" xfId="0" applyFont="1" applyFill="1" applyBorder="1" applyAlignment="1">
      <alignment horizontal="center" vertical="center" wrapText="1"/>
    </xf>
    <xf numFmtId="0" fontId="53" fillId="30" borderId="61" xfId="0" applyFont="1" applyFill="1" applyBorder="1" applyAlignment="1">
      <alignment horizontal="center" vertical="center" wrapText="1"/>
    </xf>
    <xf numFmtId="0" fontId="53" fillId="30" borderId="63" xfId="0" applyFont="1" applyFill="1" applyBorder="1" applyAlignment="1">
      <alignment horizontal="center" vertical="center" wrapText="1"/>
    </xf>
    <xf numFmtId="0" fontId="66" fillId="0" borderId="6"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2" xfId="0" applyFont="1" applyBorder="1" applyAlignment="1">
      <alignment horizontal="center" vertical="center" wrapText="1"/>
    </xf>
    <xf numFmtId="0" fontId="2" fillId="34" borderId="0" xfId="0" applyFont="1" applyFill="1" applyAlignment="1">
      <alignment horizontal="left" vertical="center" wrapText="1"/>
    </xf>
    <xf numFmtId="0" fontId="4" fillId="34" borderId="0" xfId="0" applyFont="1" applyFill="1" applyAlignment="1">
      <alignment horizontal="left" vertical="center" wrapText="1"/>
    </xf>
    <xf numFmtId="0" fontId="63" fillId="21" borderId="55" xfId="0" applyFont="1" applyFill="1" applyBorder="1" applyAlignment="1">
      <alignment horizontal="center" vertical="center" wrapText="1"/>
    </xf>
    <xf numFmtId="178" fontId="69" fillId="2" borderId="99" xfId="1" applyNumberFormat="1" applyFont="1" applyFill="1" applyBorder="1" applyAlignment="1">
      <alignment horizontal="center" vertical="center" wrapText="1"/>
    </xf>
    <xf numFmtId="0" fontId="65" fillId="0" borderId="2" xfId="0" applyFont="1" applyBorder="1" applyAlignment="1">
      <alignment horizontal="center" vertical="center" wrapText="1"/>
    </xf>
    <xf numFmtId="0" fontId="65" fillId="0" borderId="4" xfId="0" applyFont="1" applyBorder="1" applyAlignment="1">
      <alignment horizontal="center" vertical="center" wrapText="1"/>
    </xf>
    <xf numFmtId="0" fontId="4" fillId="0" borderId="2" xfId="0" applyFont="1" applyBorder="1" applyAlignment="1">
      <alignment horizontal="center" vertical="center" wrapText="1"/>
    </xf>
    <xf numFmtId="0" fontId="66" fillId="34" borderId="0" xfId="0" applyFont="1" applyFill="1" applyAlignment="1">
      <alignment horizontal="center" vertical="center" wrapText="1"/>
    </xf>
    <xf numFmtId="0" fontId="79" fillId="0" borderId="0" xfId="0" applyFont="1" applyAlignment="1">
      <alignment horizontal="left" vertical="center" wrapText="1"/>
    </xf>
    <xf numFmtId="0" fontId="79" fillId="34" borderId="0" xfId="0" applyFont="1" applyFill="1" applyAlignment="1">
      <alignment horizontal="left" vertical="center" wrapText="1"/>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4" xfId="0" applyFont="1" applyBorder="1" applyAlignment="1">
      <alignment horizontal="center" vertical="center" wrapText="1"/>
    </xf>
    <xf numFmtId="0" fontId="74" fillId="29" borderId="1" xfId="0" applyFont="1" applyFill="1" applyBorder="1" applyAlignment="1">
      <alignment horizontal="center" vertical="center" wrapText="1"/>
    </xf>
    <xf numFmtId="0" fontId="3" fillId="0" borderId="0" xfId="0" applyFont="1" applyAlignment="1">
      <alignment horizontal="left" vertical="center" wrapText="1"/>
    </xf>
    <xf numFmtId="0" fontId="81" fillId="0" borderId="77" xfId="0" applyFont="1" applyBorder="1" applyAlignment="1">
      <alignment horizontal="center" vertical="top" wrapText="1"/>
    </xf>
    <xf numFmtId="0" fontId="81" fillId="0" borderId="7" xfId="0" applyFont="1" applyBorder="1" applyAlignment="1">
      <alignment horizontal="center" vertical="top" wrapText="1"/>
    </xf>
    <xf numFmtId="0" fontId="81" fillId="0" borderId="78" xfId="0" applyFont="1" applyBorder="1" applyAlignment="1">
      <alignment horizontal="center" vertical="top" wrapText="1"/>
    </xf>
    <xf numFmtId="0" fontId="81" fillId="0" borderId="55" xfId="0" applyFont="1" applyBorder="1" applyAlignment="1">
      <alignment horizontal="center" vertical="top" wrapText="1"/>
    </xf>
    <xf numFmtId="0" fontId="81" fillId="0" borderId="0" xfId="0" applyFont="1" applyAlignment="1">
      <alignment horizontal="center" vertical="top" wrapText="1"/>
    </xf>
    <xf numFmtId="0" fontId="81" fillId="0" borderId="56" xfId="0" applyFont="1" applyBorder="1" applyAlignment="1">
      <alignment horizontal="center" vertical="top" wrapText="1"/>
    </xf>
    <xf numFmtId="0" fontId="81" fillId="0" borderId="41" xfId="0" applyFont="1" applyBorder="1" applyAlignment="1">
      <alignment horizontal="center" vertical="top" wrapText="1"/>
    </xf>
    <xf numFmtId="0" fontId="81" fillId="0" borderId="11" xfId="0" applyFont="1" applyBorder="1" applyAlignment="1">
      <alignment horizontal="center" vertical="top" wrapText="1"/>
    </xf>
    <xf numFmtId="0" fontId="81" fillId="0" borderId="42" xfId="0" applyFont="1" applyBorder="1" applyAlignment="1">
      <alignment horizontal="center" vertical="top" wrapText="1"/>
    </xf>
    <xf numFmtId="0" fontId="0" fillId="0" borderId="0" xfId="0" applyAlignment="1">
      <alignment horizontal="left" vertical="center" wrapText="1"/>
    </xf>
    <xf numFmtId="0" fontId="53" fillId="21" borderId="61" xfId="0" applyFont="1" applyFill="1" applyBorder="1" applyAlignment="1">
      <alignment horizontal="center" vertical="center" wrapText="1"/>
    </xf>
    <xf numFmtId="0" fontId="2" fillId="0" borderId="0" xfId="0" applyFont="1" applyAlignment="1">
      <alignment vertical="center" wrapText="1"/>
    </xf>
    <xf numFmtId="0" fontId="55" fillId="0" borderId="0" xfId="0" applyFont="1" applyAlignment="1">
      <alignment vertical="center" wrapText="1"/>
    </xf>
    <xf numFmtId="0" fontId="73" fillId="0" borderId="0" xfId="0" applyFont="1" applyAlignment="1">
      <alignment horizontal="left" vertical="top" wrapText="1"/>
    </xf>
    <xf numFmtId="0" fontId="4" fillId="0" borderId="1" xfId="0" applyFont="1" applyBorder="1" applyAlignment="1">
      <alignment horizontal="center" vertical="center" wrapText="1"/>
    </xf>
    <xf numFmtId="0" fontId="65" fillId="27" borderId="1" xfId="0" applyFont="1" applyFill="1" applyBorder="1" applyAlignment="1">
      <alignment horizontal="center" vertical="center" wrapText="1"/>
    </xf>
    <xf numFmtId="0" fontId="3" fillId="34" borderId="0" xfId="0" applyFont="1" applyFill="1" applyAlignment="1">
      <alignment horizontal="left" vertical="center" wrapText="1"/>
    </xf>
    <xf numFmtId="0" fontId="65" fillId="34" borderId="0" xfId="0" applyFont="1" applyFill="1" applyAlignment="1">
      <alignment horizontal="left" vertical="center" wrapText="1"/>
    </xf>
    <xf numFmtId="0" fontId="72" fillId="0" borderId="7" xfId="0" applyFont="1" applyBorder="1" applyAlignment="1">
      <alignment horizontal="left" vertical="center" wrapText="1"/>
    </xf>
    <xf numFmtId="0" fontId="72" fillId="0" borderId="0" xfId="0" applyFont="1" applyAlignment="1">
      <alignment horizontal="left" vertical="center" wrapText="1"/>
    </xf>
    <xf numFmtId="0" fontId="65"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6" fillId="0" borderId="0" xfId="0" applyFont="1" applyAlignment="1">
      <alignment horizontal="left" vertical="center" wrapText="1"/>
    </xf>
    <xf numFmtId="0" fontId="112" fillId="35" borderId="1" xfId="0" applyFont="1" applyFill="1" applyBorder="1" applyAlignment="1">
      <alignment horizontal="center" vertical="center"/>
    </xf>
    <xf numFmtId="0" fontId="55" fillId="34" borderId="0" xfId="0" applyFont="1" applyFill="1" applyAlignment="1">
      <alignment horizontal="left" vertical="center" wrapText="1"/>
    </xf>
    <xf numFmtId="169" fontId="69" fillId="2" borderId="2" xfId="1" applyNumberFormat="1" applyFont="1" applyFill="1" applyBorder="1" applyAlignment="1">
      <alignment horizontal="center" vertical="center" wrapText="1"/>
    </xf>
    <xf numFmtId="169" fontId="69" fillId="2" borderId="3" xfId="1" applyNumberFormat="1" applyFont="1" applyFill="1" applyBorder="1" applyAlignment="1">
      <alignment horizontal="center" vertical="center" wrapText="1"/>
    </xf>
    <xf numFmtId="169" fontId="69" fillId="2" borderId="4" xfId="1" applyNumberFormat="1" applyFont="1" applyFill="1" applyBorder="1" applyAlignment="1">
      <alignment horizontal="center" vertical="center" wrapText="1"/>
    </xf>
    <xf numFmtId="0" fontId="53" fillId="30" borderId="60" xfId="0" applyFont="1" applyFill="1" applyBorder="1" applyAlignment="1">
      <alignment horizontal="center" vertical="center" wrapText="1"/>
    </xf>
    <xf numFmtId="0" fontId="63" fillId="30" borderId="61" xfId="0" applyFont="1" applyFill="1" applyBorder="1" applyAlignment="1">
      <alignment horizontal="center" vertical="center" wrapText="1"/>
    </xf>
    <xf numFmtId="0" fontId="63" fillId="30" borderId="63" xfId="0" applyFont="1" applyFill="1" applyBorder="1" applyAlignment="1">
      <alignment horizontal="center" vertical="center" wrapText="1"/>
    </xf>
    <xf numFmtId="0" fontId="81" fillId="0" borderId="60" xfId="0" applyFont="1" applyBorder="1" applyAlignment="1">
      <alignment horizontal="center" vertical="top" wrapText="1"/>
    </xf>
    <xf numFmtId="0" fontId="81" fillId="0" borderId="61" xfId="0" applyFont="1" applyBorder="1" applyAlignment="1">
      <alignment horizontal="center" vertical="top" wrapText="1"/>
    </xf>
    <xf numFmtId="0" fontId="81" fillId="0" borderId="63" xfId="0" applyFont="1" applyBorder="1" applyAlignment="1">
      <alignment horizontal="center" vertical="top" wrapText="1"/>
    </xf>
    <xf numFmtId="0" fontId="70" fillId="0" borderId="0" xfId="3" applyFont="1" applyFill="1" applyBorder="1" applyAlignment="1">
      <alignment horizontal="left" vertical="center" wrapText="1" indent="4"/>
    </xf>
    <xf numFmtId="0" fontId="53" fillId="21" borderId="63" xfId="0" applyFont="1" applyFill="1" applyBorder="1" applyAlignment="1">
      <alignment horizontal="center" vertical="center" wrapText="1"/>
    </xf>
    <xf numFmtId="178" fontId="69" fillId="2" borderId="94" xfId="1" applyNumberFormat="1" applyFont="1" applyFill="1" applyBorder="1" applyAlignment="1">
      <alignment horizontal="center" vertical="center" wrapText="1"/>
    </xf>
    <xf numFmtId="178" fontId="69" fillId="2" borderId="95" xfId="1" applyNumberFormat="1" applyFont="1" applyFill="1" applyBorder="1" applyAlignment="1">
      <alignment horizontal="center" vertical="center" wrapText="1"/>
    </xf>
    <xf numFmtId="0" fontId="92" fillId="0" borderId="2" xfId="0" applyFont="1" applyBorder="1" applyAlignment="1">
      <alignment horizontal="center" vertical="center"/>
    </xf>
    <xf numFmtId="0" fontId="92" fillId="0" borderId="3" xfId="0" applyFont="1" applyBorder="1" applyAlignment="1">
      <alignment horizontal="center" vertical="center"/>
    </xf>
    <xf numFmtId="0" fontId="92" fillId="0" borderId="4" xfId="0" applyFont="1" applyBorder="1" applyAlignment="1">
      <alignment horizontal="center" vertical="center"/>
    </xf>
    <xf numFmtId="0" fontId="92" fillId="0" borderId="1" xfId="0" applyFont="1" applyBorder="1" applyAlignment="1">
      <alignment horizontal="center" vertical="center"/>
    </xf>
    <xf numFmtId="0" fontId="66" fillId="38" borderId="0" xfId="0" applyFont="1" applyFill="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top" wrapText="1"/>
    </xf>
    <xf numFmtId="0" fontId="74" fillId="37" borderId="10" xfId="0" applyFont="1" applyFill="1" applyBorder="1" applyAlignment="1">
      <alignment horizontal="center" vertical="center"/>
    </xf>
    <xf numFmtId="0" fontId="74" fillId="37" borderId="11" xfId="0" applyFont="1" applyFill="1" applyBorder="1" applyAlignment="1">
      <alignment horizontal="center" vertical="center"/>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25" xfId="0" applyFont="1" applyBorder="1" applyAlignment="1">
      <alignment horizontal="center" vertical="top" wrapText="1"/>
    </xf>
    <xf numFmtId="9" fontId="31" fillId="6" borderId="0" xfId="2" applyFont="1" applyFill="1" applyAlignment="1">
      <alignment horizontal="center" vertical="center"/>
    </xf>
    <xf numFmtId="164" fontId="13" fillId="0" borderId="2" xfId="1" applyFont="1" applyBorder="1" applyAlignment="1">
      <alignment horizontal="center"/>
    </xf>
    <xf numFmtId="164" fontId="13" fillId="0" borderId="3" xfId="1" applyFont="1" applyBorder="1" applyAlignment="1">
      <alignment horizontal="center"/>
    </xf>
    <xf numFmtId="164" fontId="13" fillId="0" borderId="4" xfId="1" applyFont="1" applyBorder="1" applyAlignment="1">
      <alignment horizontal="center"/>
    </xf>
    <xf numFmtId="164" fontId="40" fillId="6" borderId="0" xfId="1" applyFont="1" applyFill="1" applyBorder="1" applyAlignment="1">
      <alignment horizontal="center" vertical="center" wrapText="1"/>
    </xf>
    <xf numFmtId="164" fontId="28" fillId="6" borderId="26" xfId="1" applyFont="1" applyFill="1" applyBorder="1" applyAlignment="1">
      <alignment horizontal="center" vertical="center" wrapText="1"/>
    </xf>
    <xf numFmtId="164" fontId="28" fillId="6" borderId="0" xfId="1" applyFont="1" applyFill="1" applyBorder="1" applyAlignment="1">
      <alignment horizontal="center" vertical="center" wrapText="1"/>
    </xf>
    <xf numFmtId="0" fontId="28" fillId="6" borderId="0" xfId="0" applyFont="1" applyFill="1" applyAlignment="1">
      <alignment horizontal="center" vertical="center" wrapText="1"/>
    </xf>
    <xf numFmtId="0" fontId="32" fillId="6" borderId="0" xfId="0" applyFont="1" applyFill="1" applyAlignment="1">
      <alignment horizontal="center" vertical="center" wrapText="1"/>
    </xf>
    <xf numFmtId="0" fontId="28" fillId="6" borderId="11" xfId="0" applyFont="1" applyFill="1" applyBorder="1" applyAlignment="1">
      <alignment horizontal="center" vertical="center" wrapText="1"/>
    </xf>
    <xf numFmtId="0" fontId="25" fillId="0" borderId="0" xfId="0" applyFont="1" applyAlignment="1">
      <alignment horizontal="left" vertical="center" wrapText="1"/>
    </xf>
    <xf numFmtId="0" fontId="25" fillId="3" borderId="0" xfId="0" applyFont="1" applyFill="1" applyAlignment="1">
      <alignment horizontal="left" vertical="center" wrapText="1"/>
    </xf>
    <xf numFmtId="0" fontId="17" fillId="4" borderId="0" xfId="0" applyFont="1" applyFill="1" applyAlignment="1">
      <alignment horizontal="center" vertical="center" wrapText="1"/>
    </xf>
    <xf numFmtId="0" fontId="19" fillId="4" borderId="0" xfId="0" quotePrefix="1" applyFont="1" applyFill="1" applyAlignment="1">
      <alignment horizontal="center" vertical="center" wrapText="1"/>
    </xf>
    <xf numFmtId="0" fontId="58" fillId="5" borderId="0" xfId="0" applyFont="1" applyFill="1" applyAlignment="1">
      <alignment horizontal="center" vertical="center" wrapText="1"/>
    </xf>
    <xf numFmtId="0" fontId="60" fillId="6" borderId="0" xfId="0" applyFont="1" applyFill="1" applyAlignment="1">
      <alignment horizontal="center" vertical="top"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6" fillId="0" borderId="0" xfId="0" applyFont="1" applyAlignment="1">
      <alignment horizontal="left" vertical="top" wrapText="1"/>
    </xf>
    <xf numFmtId="0" fontId="13" fillId="7" borderId="0" xfId="0" applyFont="1" applyFill="1" applyAlignment="1">
      <alignment horizontal="center" vertical="center" wrapText="1"/>
    </xf>
    <xf numFmtId="0" fontId="22" fillId="0" borderId="0" xfId="0" applyFont="1" applyAlignment="1">
      <alignment horizontal="left" vertical="center" wrapText="1" indent="1"/>
    </xf>
    <xf numFmtId="0" fontId="17" fillId="5" borderId="13" xfId="0" applyFont="1" applyFill="1" applyBorder="1" applyAlignment="1">
      <alignment horizontal="center" vertical="center" wrapText="1"/>
    </xf>
    <xf numFmtId="0" fontId="17" fillId="5" borderId="0" xfId="0" applyFont="1" applyFill="1" applyAlignment="1">
      <alignment horizontal="center" vertical="center" wrapText="1"/>
    </xf>
    <xf numFmtId="0" fontId="25" fillId="6" borderId="0" xfId="0" applyFont="1" applyFill="1" applyAlignment="1">
      <alignment horizontal="center" vertical="center" wrapText="1"/>
    </xf>
    <xf numFmtId="0" fontId="22" fillId="0" borderId="0" xfId="0" applyFont="1" applyAlignment="1">
      <alignment horizontal="left" vertical="center" wrapText="1"/>
    </xf>
    <xf numFmtId="0" fontId="37" fillId="0" borderId="0" xfId="0" applyFont="1" applyAlignment="1">
      <alignment horizontal="left" vertical="center" wrapText="1"/>
    </xf>
    <xf numFmtId="0" fontId="27" fillId="0" borderId="0" xfId="0" applyFont="1" applyAlignment="1">
      <alignment horizontal="left" vertical="center" wrapText="1"/>
    </xf>
    <xf numFmtId="0" fontId="82" fillId="5" borderId="22" xfId="0" applyFont="1" applyFill="1" applyBorder="1" applyAlignment="1">
      <alignment horizontal="center" vertical="center" wrapText="1"/>
    </xf>
    <xf numFmtId="0" fontId="82" fillId="5" borderId="0" xfId="0" applyFont="1" applyFill="1" applyAlignment="1">
      <alignment horizontal="center" vertical="center" wrapText="1"/>
    </xf>
    <xf numFmtId="0" fontId="24" fillId="6" borderId="0" xfId="0" applyFont="1" applyFill="1" applyAlignment="1">
      <alignment horizontal="center" vertical="top" wrapText="1"/>
    </xf>
    <xf numFmtId="164" fontId="37" fillId="6" borderId="0" xfId="0" applyNumberFormat="1" applyFont="1" applyFill="1" applyAlignment="1">
      <alignment horizontal="center" vertical="center" wrapText="1"/>
    </xf>
    <xf numFmtId="0" fontId="22" fillId="0" borderId="0" xfId="0" applyFont="1" applyAlignment="1">
      <alignment horizontal="center" vertical="center" wrapText="1"/>
    </xf>
    <xf numFmtId="164" fontId="17" fillId="7" borderId="0" xfId="1" applyFont="1" applyFill="1" applyAlignment="1">
      <alignment horizontal="center" vertical="center" wrapText="1"/>
    </xf>
    <xf numFmtId="0" fontId="17" fillId="7" borderId="0" xfId="0" applyFont="1" applyFill="1" applyAlignment="1">
      <alignment horizontal="center" vertical="center" wrapText="1"/>
    </xf>
    <xf numFmtId="0" fontId="43" fillId="9" borderId="70" xfId="0" applyFont="1" applyFill="1" applyBorder="1" applyAlignment="1">
      <alignment horizontal="center" wrapText="1"/>
    </xf>
    <xf numFmtId="0" fontId="43" fillId="9" borderId="37" xfId="0" applyFont="1" applyFill="1" applyBorder="1" applyAlignment="1">
      <alignment horizontal="center" wrapText="1"/>
    </xf>
    <xf numFmtId="0" fontId="46" fillId="10" borderId="70" xfId="0" applyFont="1" applyFill="1" applyBorder="1" applyAlignment="1">
      <alignment wrapText="1"/>
    </xf>
    <xf numFmtId="0" fontId="46" fillId="10" borderId="37" xfId="0" applyFont="1" applyFill="1" applyBorder="1" applyAlignment="1">
      <alignment wrapText="1"/>
    </xf>
    <xf numFmtId="0" fontId="43" fillId="12" borderId="70" xfId="0" applyFont="1" applyFill="1" applyBorder="1" applyAlignment="1">
      <alignment horizontal="center" wrapText="1"/>
    </xf>
    <xf numFmtId="0" fontId="43" fillId="12" borderId="37" xfId="0" applyFont="1" applyFill="1" applyBorder="1" applyAlignment="1">
      <alignment horizontal="center" wrapText="1"/>
    </xf>
    <xf numFmtId="0" fontId="6" fillId="0" borderId="1" xfId="0" applyFont="1" applyBorder="1" applyAlignment="1">
      <alignment horizontal="center"/>
    </xf>
    <xf numFmtId="0" fontId="6" fillId="0" borderId="68" xfId="0" applyFont="1" applyBorder="1" applyAlignment="1">
      <alignment horizontal="left"/>
    </xf>
    <xf numFmtId="0" fontId="6" fillId="0" borderId="39" xfId="0" applyFont="1" applyBorder="1" applyAlignment="1">
      <alignment horizontal="left"/>
    </xf>
    <xf numFmtId="0" fontId="6" fillId="0" borderId="69" xfId="0" applyFont="1" applyBorder="1" applyAlignment="1">
      <alignment horizontal="left"/>
    </xf>
    <xf numFmtId="0" fontId="76" fillId="8" borderId="65" xfId="0" applyFont="1" applyFill="1" applyBorder="1" applyAlignment="1">
      <alignment horizontal="center" vertical="center" wrapText="1"/>
    </xf>
    <xf numFmtId="0" fontId="76" fillId="8" borderId="66" xfId="0" applyFont="1" applyFill="1" applyBorder="1" applyAlignment="1">
      <alignment horizontal="center" vertical="center" wrapText="1"/>
    </xf>
    <xf numFmtId="0" fontId="76" fillId="8" borderId="67" xfId="0" applyFont="1" applyFill="1" applyBorder="1" applyAlignment="1">
      <alignment horizontal="center" vertical="center" wrapText="1"/>
    </xf>
    <xf numFmtId="0" fontId="6" fillId="0" borderId="0" xfId="0" applyFont="1" applyAlignment="1">
      <alignment horizontal="center"/>
    </xf>
  </cellXfs>
  <cellStyles count="11">
    <cellStyle name="Good 2" xfId="7" xr:uid="{00000000-0005-0000-0000-000000000000}"/>
    <cellStyle name="Lien hypertexte" xfId="3" builtinId="8"/>
    <cellStyle name="Milliers" xfId="1" builtinId="3"/>
    <cellStyle name="Milliers 2" xfId="4" xr:uid="{00000000-0005-0000-0000-000003000000}"/>
    <cellStyle name="Milliers 3" xfId="8" xr:uid="{00000000-0005-0000-0000-000004000000}"/>
    <cellStyle name="Milliers 4" xfId="10" xr:uid="{DA19071F-7E79-42CD-8DF3-115DFE590EC7}"/>
    <cellStyle name="Monétaire" xfId="9" builtinId="4"/>
    <cellStyle name="Neutral 2" xfId="6" xr:uid="{00000000-0005-0000-0000-000005000000}"/>
    <cellStyle name="Normal" xfId="0" builtinId="0"/>
    <cellStyle name="Normal 2" xfId="5" xr:uid="{00000000-0005-0000-0000-000007000000}"/>
    <cellStyle name="Pourcentage" xfId="2" builtinId="5"/>
  </cellStyles>
  <dxfs count="4">
    <dxf>
      <fill>
        <patternFill>
          <bgColor theme="7"/>
        </patternFill>
      </fill>
    </dxf>
    <dxf>
      <fill>
        <patternFill>
          <bgColor theme="0" tint="-0.14996795556505021"/>
        </patternFill>
      </fill>
    </dxf>
    <dxf>
      <fill>
        <patternFill>
          <bgColor theme="3" tint="0.79998168889431442"/>
        </patternFill>
      </fill>
    </dxf>
    <dxf>
      <fill>
        <patternFill>
          <bgColor theme="5"/>
        </patternFill>
      </fill>
    </dxf>
  </dxfs>
  <tableStyles count="0" defaultTableStyle="TableStyleMedium2" defaultPivotStyle="PivotStyleLight16"/>
  <colors>
    <mruColors>
      <color rgb="FFFFF3CD"/>
      <color rgb="FFFCE4D6"/>
      <color rgb="FFFFE699"/>
      <color rgb="FFE2EFDA"/>
      <color rgb="FFE7E6E6"/>
      <color rgb="FFE7EFFF"/>
      <color rgb="FF40A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a:t>Répartition des consommations par type d'énergie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9F4-4A0B-B02D-A73BFB9F59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9F4-4A0B-B02D-A73BFB9F59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A4-4A95-918B-B74ECBE199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A4-4A95-918B-B74ECBE199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A4-4A95-918B-B74ECBE199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'2_ConsoEnergieEau'!$C$30:$C$34</c:f>
              <c:strCache>
                <c:ptCount val="5"/>
                <c:pt idx="0">
                  <c:v>Electricité</c:v>
                </c:pt>
                <c:pt idx="1">
                  <c:v>Gaz naturel</c:v>
                </c:pt>
                <c:pt idx="2">
                  <c:v>Bois</c:v>
                </c:pt>
                <c:pt idx="3">
                  <c:v>Réseaux de chaleur</c:v>
                </c:pt>
                <c:pt idx="4">
                  <c:v>Produits pétroliers</c:v>
                </c:pt>
              </c:strCache>
            </c:strRef>
          </c:cat>
          <c:val>
            <c:numRef>
              <c:f>'2_ConsoEnergieEau'!$D$30:$D$34</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77EB-4417-A637-4294682BE46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a:t>Répartition des émissions par type d'énergie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A5-4BE4-B87C-6DC3166659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A5-4BE4-B87C-6DC3166659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4F1-421C-8521-A9ECB78393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4F1-421C-8521-A9ECB78393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4F1-421C-8521-A9ECB78393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'2_ConsoEnergieEau'!$C$30:$C$34</c:f>
              <c:strCache>
                <c:ptCount val="5"/>
                <c:pt idx="0">
                  <c:v>Electricité</c:v>
                </c:pt>
                <c:pt idx="1">
                  <c:v>Gaz naturel</c:v>
                </c:pt>
                <c:pt idx="2">
                  <c:v>Bois</c:v>
                </c:pt>
                <c:pt idx="3">
                  <c:v>Réseaux de chaleur</c:v>
                </c:pt>
                <c:pt idx="4">
                  <c:v>Produits pétroliers</c:v>
                </c:pt>
              </c:strCache>
            </c:strRef>
          </c:cat>
          <c:val>
            <c:numRef>
              <c:f>'2_ConsoEnergieEau'!$E$30:$E$34</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8-B57E-4945-AC53-B9AC7C9E1FB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émissions par typologie de véhicule (tCO</a:t>
            </a:r>
            <a:r>
              <a:rPr lang="fr-FR" sz="1200" baseline="-25000"/>
              <a:t>2</a:t>
            </a:r>
            <a:r>
              <a:rPr lang="fr-FR" sz="1200" baseline="0"/>
              <a:t>e)</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'7_DéplacementsProfessionnels'!$E$54</c:f>
              <c:strCache>
                <c:ptCount val="1"/>
                <c:pt idx="0">
                  <c:v>Emissions totales
tCO2e</c:v>
                </c:pt>
              </c:strCache>
            </c:strRef>
          </c:tx>
          <c:spPr>
            <a:solidFill>
              <a:schemeClr val="accent1"/>
            </a:solidFill>
            <a:ln>
              <a:noFill/>
            </a:ln>
            <a:effectLst/>
          </c:spPr>
          <c:invertIfNegative val="0"/>
          <c:cat>
            <c:strRef>
              <c:f>'7_DéplacementsProfessionnels'!$C$55:$C$73</c:f>
              <c:strCache>
                <c:ptCount val="19"/>
                <c:pt idx="0">
                  <c:v>2 roues électriques (vélo, trottinette)</c:v>
                </c:pt>
                <c:pt idx="1">
                  <c:v>2 roues thermiques (moto, scooter)</c:v>
                </c:pt>
                <c:pt idx="2">
                  <c:v>Avion international</c:v>
                </c:pt>
                <c:pt idx="3">
                  <c:v>Avion national</c:v>
                </c:pt>
                <c:pt idx="4">
                  <c:v>Bus - transport de ville</c:v>
                </c:pt>
                <c:pt idx="5">
                  <c:v>Car - transport régional</c:v>
                </c:pt>
                <c:pt idx="6">
                  <c:v>Covoiturage 2 personnes</c:v>
                </c:pt>
                <c:pt idx="7">
                  <c:v>Covoiturage 3 personnes</c:v>
                </c:pt>
                <c:pt idx="8">
                  <c:v>Covoiturage 4 personnes</c:v>
                </c:pt>
                <c:pt idx="9">
                  <c:v>Covoiturage 5 personnes</c:v>
                </c:pt>
                <c:pt idx="10">
                  <c:v>Métro, tramway</c:v>
                </c:pt>
                <c:pt idx="11">
                  <c:v>Mobilité douce (marche, vélo)</c:v>
                </c:pt>
                <c:pt idx="12">
                  <c:v>Navette fluviale</c:v>
                </c:pt>
                <c:pt idx="13">
                  <c:v>TER</c:v>
                </c:pt>
                <c:pt idx="14">
                  <c:v>Trains grandes lignes, TGV</c:v>
                </c:pt>
                <c:pt idx="15">
                  <c:v>Voiture électrique</c:v>
                </c:pt>
                <c:pt idx="16">
                  <c:v>Voiture hybride</c:v>
                </c:pt>
                <c:pt idx="17">
                  <c:v>Voiture motorisation moyenne </c:v>
                </c:pt>
                <c:pt idx="18">
                  <c:v>Voiture thermique</c:v>
                </c:pt>
              </c:strCache>
            </c:strRef>
          </c:cat>
          <c:val>
            <c:numRef>
              <c:f>'7_DéplacementsProfessionnels'!$E$55:$E$73</c:f>
              <c:numCache>
                <c:formatCode>General\ "tCO2e"</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142-425F-8595-D8DE60EE265A}"/>
            </c:ext>
          </c:extLst>
        </c:ser>
        <c:dLbls>
          <c:showLegendKey val="0"/>
          <c:showVal val="0"/>
          <c:showCatName val="0"/>
          <c:showSerName val="0"/>
          <c:showPercent val="0"/>
          <c:showBubbleSize val="0"/>
        </c:dLbls>
        <c:gapWidth val="150"/>
        <c:overlap val="100"/>
        <c:axId val="172719688"/>
        <c:axId val="172714592"/>
      </c:barChart>
      <c:catAx>
        <c:axId val="17271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4592"/>
        <c:crosses val="autoZero"/>
        <c:auto val="1"/>
        <c:lblAlgn val="ctr"/>
        <c:lblOffset val="100"/>
        <c:noMultiLvlLbl val="0"/>
      </c:catAx>
      <c:valAx>
        <c:axId val="17271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9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émissions par grandes catégories de transport (tCO</a:t>
            </a:r>
            <a:r>
              <a:rPr lang="fr-FR" sz="1200" baseline="-25000"/>
              <a:t>2</a:t>
            </a:r>
            <a:r>
              <a:rPr lang="fr-FR" sz="1200" baseline="0"/>
              <a:t>e)</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'7_DéplacementsProfessionnels'!$H$54</c:f>
              <c:strCache>
                <c:ptCount val="1"/>
                <c:pt idx="0">
                  <c:v>Emissions totales
tCO2e</c:v>
                </c:pt>
              </c:strCache>
            </c:strRef>
          </c:tx>
          <c:spPr>
            <a:solidFill>
              <a:schemeClr val="accent1"/>
            </a:solidFill>
            <a:ln>
              <a:noFill/>
            </a:ln>
            <a:effectLst/>
          </c:spPr>
          <c:invertIfNegative val="0"/>
          <c:cat>
            <c:strRef>
              <c:f>'7_DéplacementsProfessionnels'!$G$55:$G$59</c:f>
              <c:strCache>
                <c:ptCount val="5"/>
                <c:pt idx="0">
                  <c:v>Avion</c:v>
                </c:pt>
                <c:pt idx="1">
                  <c:v>Deux roues</c:v>
                </c:pt>
                <c:pt idx="2">
                  <c:v>Mobilité douce</c:v>
                </c:pt>
                <c:pt idx="3">
                  <c:v>Transport collectif</c:v>
                </c:pt>
                <c:pt idx="4">
                  <c:v>Voiture</c:v>
                </c:pt>
              </c:strCache>
            </c:strRef>
          </c:cat>
          <c:val>
            <c:numRef>
              <c:f>'7_DéplacementsProfessionnels'!$H$55:$H$59</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2-2B41-400E-8526-3648BCCDBA60}"/>
            </c:ext>
          </c:extLst>
        </c:ser>
        <c:dLbls>
          <c:showLegendKey val="0"/>
          <c:showVal val="0"/>
          <c:showCatName val="0"/>
          <c:showSerName val="0"/>
          <c:showPercent val="0"/>
          <c:showBubbleSize val="0"/>
        </c:dLbls>
        <c:gapWidth val="150"/>
        <c:overlap val="100"/>
        <c:axId val="172719688"/>
        <c:axId val="172714592"/>
      </c:barChart>
      <c:catAx>
        <c:axId val="17271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4592"/>
        <c:crosses val="autoZero"/>
        <c:auto val="1"/>
        <c:lblAlgn val="ctr"/>
        <c:lblOffset val="100"/>
        <c:noMultiLvlLbl val="0"/>
      </c:catAx>
      <c:valAx>
        <c:axId val="17271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9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distances parcourues annuellement par modes de transport et par typologie de "personnel"</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'8_DéplacementsSalariés'!$D$77:$E$77</c:f>
              <c:strCache>
                <c:ptCount val="1"/>
                <c:pt idx="0">
                  <c:v>Equipe permanente</c:v>
                </c:pt>
              </c:strCache>
            </c:strRef>
          </c:tx>
          <c:spPr>
            <a:solidFill>
              <a:schemeClr val="accent1"/>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'8_DéplacementsSalariés'!$D$79:$D$83</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9A0C-466D-80EB-7DBE471637DD}"/>
            </c:ext>
          </c:extLst>
        </c:ser>
        <c:ser>
          <c:idx val="1"/>
          <c:order val="1"/>
          <c:tx>
            <c:strRef>
              <c:f>'8_DéplacementsSalariés'!$F$77:$G$77</c:f>
              <c:strCache>
                <c:ptCount val="1"/>
                <c:pt idx="0">
                  <c:v>Equipe intermittente</c:v>
                </c:pt>
              </c:strCache>
            </c:strRef>
          </c:tx>
          <c:spPr>
            <a:solidFill>
              <a:schemeClr val="accent2"/>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'8_DéplacementsSalariés'!$F$79:$F$83</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1-9A0C-466D-80EB-7DBE471637DD}"/>
            </c:ext>
          </c:extLst>
        </c:ser>
        <c:dLbls>
          <c:showLegendKey val="0"/>
          <c:showVal val="0"/>
          <c:showCatName val="0"/>
          <c:showSerName val="0"/>
          <c:showPercent val="0"/>
          <c:showBubbleSize val="0"/>
        </c:dLbls>
        <c:gapWidth val="150"/>
        <c:overlap val="100"/>
        <c:axId val="172717728"/>
        <c:axId val="547590840"/>
      </c:barChart>
      <c:catAx>
        <c:axId val="1727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90840"/>
        <c:crosses val="autoZero"/>
        <c:auto val="1"/>
        <c:lblAlgn val="ctr"/>
        <c:lblOffset val="100"/>
        <c:noMultiLvlLbl val="0"/>
      </c:catAx>
      <c:valAx>
        <c:axId val="547590840"/>
        <c:scaling>
          <c:orientation val="minMax"/>
        </c:scaling>
        <c:delete val="0"/>
        <c:axPos val="l"/>
        <c:majorGridlines>
          <c:spPr>
            <a:ln w="9525" cap="flat" cmpd="sng" algn="ctr">
              <a:solidFill>
                <a:schemeClr val="tx1">
                  <a:lumMod val="15000"/>
                  <a:lumOff val="85000"/>
                </a:schemeClr>
              </a:solidFill>
              <a:round/>
            </a:ln>
            <a:effectLst/>
          </c:spPr>
        </c:majorGridlines>
        <c:numFmt formatCode="_-* #\ ##0.00_-;\-* #\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17271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a:t>
            </a:r>
            <a:r>
              <a:rPr lang="fr-FR" sz="1200" baseline="0"/>
              <a:t> des émissions par modes de transport et par typologie de "personnel"</a:t>
            </a:r>
            <a:endParaRPr lang="fr-F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stacked"/>
        <c:varyColors val="0"/>
        <c:ser>
          <c:idx val="0"/>
          <c:order val="0"/>
          <c:tx>
            <c:strRef>
              <c:f>'8_DéplacementsSalariés'!$D$77:$E$77</c:f>
              <c:strCache>
                <c:ptCount val="1"/>
                <c:pt idx="0">
                  <c:v>Equipe permanente</c:v>
                </c:pt>
              </c:strCache>
            </c:strRef>
          </c:tx>
          <c:spPr>
            <a:solidFill>
              <a:schemeClr val="accent1"/>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'8_DéplacementsSalariés'!$E$79:$E$83</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0-9E44-4972-8383-697D28679D80}"/>
            </c:ext>
          </c:extLst>
        </c:ser>
        <c:ser>
          <c:idx val="1"/>
          <c:order val="1"/>
          <c:tx>
            <c:strRef>
              <c:f>'8_DéplacementsSalariés'!$F$77:$G$77</c:f>
              <c:strCache>
                <c:ptCount val="1"/>
                <c:pt idx="0">
                  <c:v>Equipe intermittente</c:v>
                </c:pt>
              </c:strCache>
            </c:strRef>
          </c:tx>
          <c:spPr>
            <a:solidFill>
              <a:schemeClr val="accent2"/>
            </a:solidFill>
            <a:ln>
              <a:noFill/>
            </a:ln>
            <a:effectLst/>
          </c:spPr>
          <c:invertIfNegative val="0"/>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'8_DéplacementsSalariés'!$G$79:$G$83</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1-9E44-4972-8383-697D28679D80}"/>
            </c:ext>
          </c:extLst>
        </c:ser>
        <c:dLbls>
          <c:showLegendKey val="0"/>
          <c:showVal val="0"/>
          <c:showCatName val="0"/>
          <c:showSerName val="0"/>
          <c:showPercent val="0"/>
          <c:showBubbleSize val="0"/>
        </c:dLbls>
        <c:gapWidth val="150"/>
        <c:overlap val="100"/>
        <c:axId val="547592408"/>
        <c:axId val="547593192"/>
      </c:barChart>
      <c:catAx>
        <c:axId val="54759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93192"/>
        <c:crosses val="autoZero"/>
        <c:auto val="1"/>
        <c:lblAlgn val="ctr"/>
        <c:lblOffset val="100"/>
        <c:noMultiLvlLbl val="0"/>
      </c:catAx>
      <c:valAx>
        <c:axId val="547593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quot;tCO2e&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92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distances parcourues annuellement 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7C-4047-916A-BCF7AA4FAD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7C-4047-916A-BCF7AA4FAD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7C-4047-916A-BCF7AA4FAD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7C-4047-916A-BCF7AA4FAD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7C-4047-916A-BCF7AA4FAD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'8_DéplacementsSalariés'!$H$79:$H$83</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0-A5EA-407F-9C30-10ECAD1072AE}"/>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émissions 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AC-46EC-B66B-1EAD4A98C7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AC-46EC-B66B-1EAD4A98C7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AC-46EC-B66B-1EAD4A98C7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AC-46EC-B66B-1EAD4A98C7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AC-46EC-B66B-1EAD4A98C75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'8_DéplacementsSalariés'!$C$79:$C$83</c:f>
              <c:strCache>
                <c:ptCount val="5"/>
                <c:pt idx="0">
                  <c:v>Avion</c:v>
                </c:pt>
                <c:pt idx="1">
                  <c:v>Deux roues</c:v>
                </c:pt>
                <c:pt idx="2">
                  <c:v>Mobilité douce</c:v>
                </c:pt>
                <c:pt idx="3">
                  <c:v>Transport collectif</c:v>
                </c:pt>
                <c:pt idx="4">
                  <c:v>Voiture</c:v>
                </c:pt>
              </c:strCache>
            </c:strRef>
          </c:cat>
          <c:val>
            <c:numRef>
              <c:f>'8_DéplacementsSalariés'!$I$79:$I$83</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30B1-4939-919D-4609B0CBE3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distances parcourues par les visiteurs</a:t>
            </a:r>
            <a:r>
              <a:rPr lang="fr-FR" sz="1200" baseline="0"/>
              <a:t> </a:t>
            </a:r>
            <a:r>
              <a:rPr lang="fr-FR" sz="1200"/>
              <a:t>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51-4C89-9397-20AA8E6C9E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51-4C89-9397-20AA8E6C9E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51-4C89-9397-20AA8E6C9E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51-4C89-9397-20AA8E6C9E7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51-4C89-9397-20AA8E6C9E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'9_DéplacementsVisiteurs'!$C$73:$C$77</c:f>
              <c:strCache>
                <c:ptCount val="5"/>
                <c:pt idx="0">
                  <c:v>Avion</c:v>
                </c:pt>
                <c:pt idx="1">
                  <c:v>Deux roues</c:v>
                </c:pt>
                <c:pt idx="2">
                  <c:v>Mobilité douce</c:v>
                </c:pt>
                <c:pt idx="3">
                  <c:v>Transport collectif</c:v>
                </c:pt>
                <c:pt idx="4">
                  <c:v>Voiture</c:v>
                </c:pt>
              </c:strCache>
            </c:strRef>
          </c:cat>
          <c:val>
            <c:numRef>
              <c:f>'9_DéplacementsVisiteurs'!$D$73:$D$77</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49E1-457F-AAF8-D39EEE0A87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200"/>
              <a:t>Répartition des émissions par les visiteurs par modes de transport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2D-4E2D-8EA5-70E3AEF39F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2D-4E2D-8EA5-70E3AEF39F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2D-4E2D-8EA5-70E3AEF39F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2D-4E2D-8EA5-70E3AEF39F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2D-4E2D-8EA5-70E3AEF39F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'9_DéplacementsVisiteurs'!$C$73:$C$77</c:f>
              <c:strCache>
                <c:ptCount val="5"/>
                <c:pt idx="0">
                  <c:v>Avion</c:v>
                </c:pt>
                <c:pt idx="1">
                  <c:v>Deux roues</c:v>
                </c:pt>
                <c:pt idx="2">
                  <c:v>Mobilité douce</c:v>
                </c:pt>
                <c:pt idx="3">
                  <c:v>Transport collectif</c:v>
                </c:pt>
                <c:pt idx="4">
                  <c:v>Voiture</c:v>
                </c:pt>
              </c:strCache>
            </c:strRef>
          </c:cat>
          <c:val>
            <c:numRef>
              <c:f>'9_DéplacementsVisiteurs'!$E$73:$E$77</c:f>
              <c:numCache>
                <c:formatCode>_-* #\ ##0.00_-;\-* #\ ##0.00_-;_-* "-"??_-;_-@_-</c:formatCode>
                <c:ptCount val="5"/>
                <c:pt idx="0">
                  <c:v>0</c:v>
                </c:pt>
                <c:pt idx="1">
                  <c:v>0</c:v>
                </c:pt>
                <c:pt idx="2">
                  <c:v>0</c:v>
                </c:pt>
                <c:pt idx="3">
                  <c:v>0</c:v>
                </c:pt>
                <c:pt idx="4">
                  <c:v>0</c:v>
                </c:pt>
              </c:numCache>
            </c:numRef>
          </c:val>
          <c:extLst>
            <c:ext xmlns:c16="http://schemas.microsoft.com/office/drawing/2014/chart" uri="{C3380CC4-5D6E-409C-BE32-E72D297353CC}">
              <c16:uniqueId val="{0000000A-009C-4DEC-9FA4-2CA9D5B09F8D}"/>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3880022239762997"/>
          <c:y val="0.3388813577342743"/>
          <c:w val="0.15568471010503671"/>
          <c:h val="0.35394820780670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en-US"/>
              <a:t>Répartition des émissions en fonction des typologies</a:t>
            </a:r>
            <a:r>
              <a:rPr lang="en-US" baseline="0"/>
              <a:t> d'équipements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tx>
            <c:strRef>
              <c:f>'12_Equipements'!$D$191</c:f>
              <c:strCache>
                <c:ptCount val="1"/>
                <c:pt idx="0">
                  <c:v>Emissions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103-43B6-85F7-EF076A0409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03-43B6-85F7-EF076A0409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103-43B6-85F7-EF076A0409D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103-43B6-85F7-EF076A0409D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103-43B6-85F7-EF076A0409D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103-43B6-85F7-EF076A0409D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'12_Equipements'!$C$192:$C$197</c:f>
              <c:strCache>
                <c:ptCount val="6"/>
                <c:pt idx="0">
                  <c:v>Mobilier</c:v>
                </c:pt>
                <c:pt idx="1">
                  <c:v>Flotte de véhicule</c:v>
                </c:pt>
                <c:pt idx="2">
                  <c:v>Inventaire de CD et DVD</c:v>
                </c:pt>
                <c:pt idx="3">
                  <c:v>Equipements informatiques</c:v>
                </c:pt>
                <c:pt idx="4">
                  <c:v>Equipements scéniques</c:v>
                </c:pt>
                <c:pt idx="5">
                  <c:v>Instruments de musique</c:v>
                </c:pt>
              </c:strCache>
            </c:strRef>
          </c:cat>
          <c:val>
            <c:numRef>
              <c:f>'12_Equipements'!$D$192:$D$197</c:f>
              <c:numCache>
                <c:formatCode>General\ "tCO2e"</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6-3103-43B6-85F7-EF076A0409D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Emissions</a:t>
            </a:r>
            <a:r>
              <a:rPr lang="fr-FR" baseline="0"/>
              <a:t> </a:t>
            </a:r>
            <a:r>
              <a:rPr lang="fr-FR"/>
              <a:t>par types de repas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14-441B-A891-9037D00ADD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14-441B-A891-9037D00ADD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14-441B-A891-9037D00ADD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14-441B-A891-9037D00ADD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14-441B-A891-9037D00ADD4E}"/>
              </c:ext>
            </c:extLst>
          </c:dPt>
          <c:dLbls>
            <c:dLbl>
              <c:idx val="2"/>
              <c:layout>
                <c:manualLayout>
                  <c:x val="7.1346134791742857E-2"/>
                  <c:y val="6.0530254647495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114-441B-A891-9037D00ADD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viande rouge</c:v>
              </c:pt>
              <c:pt idx="1">
                <c:v>viande blanche</c:v>
              </c:pt>
              <c:pt idx="2">
                <c:v>poisson</c:v>
              </c:pt>
              <c:pt idx="3">
                <c:v>végétarien</c:v>
              </c:pt>
              <c:pt idx="4">
                <c:v>végétalien</c:v>
              </c:pt>
            </c:strLit>
          </c:cat>
          <c:val>
            <c:numRef>
              <c:f>('15_Alimentation'!$F$42,'15_Alimentation'!$F$44,'15_Alimentation'!$F$46,'15_Alimentation'!$F$48,'15_Alimentation'!$F$50)</c:f>
              <c:numCache>
                <c:formatCode>General\ "tCO2e"</c:formatCode>
                <c:ptCount val="5"/>
                <c:pt idx="0">
                  <c:v>0</c:v>
                </c:pt>
                <c:pt idx="1">
                  <c:v>0</c:v>
                </c:pt>
                <c:pt idx="2">
                  <c:v>0</c:v>
                </c:pt>
                <c:pt idx="3">
                  <c:v>0</c:v>
                </c:pt>
                <c:pt idx="4">
                  <c:v>0</c:v>
                </c:pt>
              </c:numCache>
            </c:numRef>
          </c:val>
          <c:extLst>
            <c:ext xmlns:c16="http://schemas.microsoft.com/office/drawing/2014/chart" uri="{C3380CC4-5D6E-409C-BE32-E72D297353CC}">
              <c16:uniqueId val="{0000000A-1114-441B-A891-9037D00ADD4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a:t>Répartition des dépenses par catégorie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60-4618-A0F5-6DF6767816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60-4618-A0F5-6DF6767816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560-4618-A0F5-6DF6767816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560-4618-A0F5-6DF67678162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560-4618-A0F5-6DF67678162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E-4687-9B62-F1869CE16E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9DE-4687-9B62-F1869CE16E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9DE-4687-9B62-F1869CE16E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9DE-4687-9B62-F1869CE16E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9DE-4687-9B62-F1869CE16E0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9DE-4687-9B62-F1869CE16E0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9DE-4687-9B62-F1869CE16E0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9DE-4687-9B62-F1869CE16E0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9DE-4687-9B62-F1869CE16E0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B6C-4079-A5AE-2ACB62CF095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B6C-4079-A5AE-2ACB62CF095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B6C-4079-A5AE-2ACB62CF095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B6C-4079-A5AE-2ACB62CF0956}"/>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B6C-4079-A5AE-2ACB62CF0956}"/>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B6C-4079-A5AE-2ACB62CF09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'16_Autres achats (€)'!$C$39:$C$58</c:f>
            </c:multiLvlStrRef>
          </c:cat>
          <c:val>
            <c:numRef>
              <c:f>'16_Autres achats (€)'!$D$39:$D$58</c:f>
              <c:numCache>
                <c:formatCode>_-* #\ ##0.00_-;\-* #\ ##0.00_-;_-* "-"??_-;_-@_-</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A-0560-4618-A0F5-6DF676781621}"/>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sz="1000" b="0" i="0" u="none" strike="noStrike" kern="1200" spc="0" baseline="0">
                <a:solidFill>
                  <a:sysClr val="windowText" lastClr="000000">
                    <a:lumMod val="65000"/>
                    <a:lumOff val="35000"/>
                  </a:sysClr>
                </a:solidFill>
                <a:latin typeface="Arial Nova Light" panose="020B0304020202020204" pitchFamily="34" charset="0"/>
              </a:rPr>
              <a:t>Répartition des émissions par catégorie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81-4722-8537-1C2CD82F97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81-4722-8537-1C2CD82F97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81-4722-8537-1C2CD82F978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81-4722-8537-1C2CD82F978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81-4722-8537-1C2CD82F978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C6-4CF8-B649-CEEA8964AB8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2C6-4CF8-B649-CEEA8964AB8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2C6-4CF8-B649-CEEA8964AB8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2C6-4CF8-B649-CEEA8964AB8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2C6-4CF8-B649-CEEA8964AB8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2C6-4CF8-B649-CEEA8964AB8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2C6-4CF8-B649-CEEA8964AB8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2C6-4CF8-B649-CEEA8964AB8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2C6-4CF8-B649-CEEA8964AB8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834-4328-9B5D-94CA128D636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834-4328-9B5D-94CA128D636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834-4328-9B5D-94CA128D636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834-4328-9B5D-94CA128D636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834-4328-9B5D-94CA128D636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834-4328-9B5D-94CA128D63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'16_Autres achats (€)'!$C$39:$C$58</c:f>
            </c:multiLvlStrRef>
          </c:cat>
          <c:val>
            <c:numRef>
              <c:f>'16_Autres achats (€)'!$E$39:$E$58</c:f>
              <c:numCache>
                <c:formatCode>General\ "tCO2e"</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A-F481-4722-8537-1C2CD82F978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a:t>Répartition des émissions de gaz à effet de serre (tCO</a:t>
            </a:r>
            <a:r>
              <a:rPr lang="fr-FR" baseline="-25000"/>
              <a:t>2</a:t>
            </a:r>
            <a:r>
              <a:rPr lang="fr-FR"/>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4146-4059-99A7-664BA395A3BC}"/>
            </c:ext>
          </c:extLst>
        </c:ser>
        <c:dLbls>
          <c:dLblPos val="outEnd"/>
          <c:showLegendKey val="0"/>
          <c:showVal val="1"/>
          <c:showCatName val="0"/>
          <c:showSerName val="0"/>
          <c:showPercent val="0"/>
          <c:showBubbleSize val="0"/>
        </c:dLbls>
        <c:gapWidth val="219"/>
        <c:overlap val="-27"/>
        <c:axId val="547586136"/>
        <c:axId val="547586528"/>
      </c:barChart>
      <c:catAx>
        <c:axId val="54758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86528"/>
        <c:crosses val="autoZero"/>
        <c:auto val="1"/>
        <c:lblAlgn val="ctr"/>
        <c:lblOffset val="100"/>
        <c:noMultiLvlLbl val="0"/>
      </c:catAx>
      <c:valAx>
        <c:axId val="547586528"/>
        <c:scaling>
          <c:orientation val="minMax"/>
        </c:scaling>
        <c:delete val="0"/>
        <c:axPos val="l"/>
        <c:majorGridlines>
          <c:spPr>
            <a:ln w="9525" cap="flat" cmpd="sng" algn="ctr">
              <a:solidFill>
                <a:schemeClr val="tx1">
                  <a:lumMod val="15000"/>
                  <a:lumOff val="85000"/>
                </a:schemeClr>
              </a:solidFill>
              <a:round/>
            </a:ln>
            <a:effectLst/>
          </c:spPr>
        </c:majorGridlines>
        <c:numFmt formatCode="_-* #\ ##0.00_-;\-* #\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Light" panose="020B0304020202020204" pitchFamily="34" charset="0"/>
                <a:ea typeface="+mn-ea"/>
                <a:cs typeface="+mn-cs"/>
              </a:defRPr>
            </a:pPr>
            <a:endParaRPr lang="fr-FR"/>
          </a:p>
        </c:txPr>
        <c:crossAx val="547586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r>
              <a:rPr lang="fr-FR"/>
              <a:t>Ventilation</a:t>
            </a:r>
            <a:r>
              <a:rPr lang="fr-FR" baseline="0"/>
              <a:t> des émissions par poste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ova Light" panose="020B0304020202020204" pitchFamily="34" charset="0"/>
              <a:ea typeface="+mn-ea"/>
              <a:cs typeface="+mn-cs"/>
            </a:defRPr>
          </a:pPr>
          <a:endParaRPr lang="fr-FR"/>
        </a:p>
      </c:txPr>
    </c:title>
    <c:autoTitleDeleted val="0"/>
    <c:plotArea>
      <c:layout>
        <c:manualLayout>
          <c:layoutTarget val="inner"/>
          <c:xMode val="edge"/>
          <c:yMode val="edge"/>
          <c:x val="0.38983531588587578"/>
          <c:y val="0.17546170053123938"/>
          <c:w val="0.27413158529931853"/>
          <c:h val="0.6194358669996143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7B-474C-AA36-AA88437E4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7B-474C-AA36-AA88437E44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87B-474C-AA36-AA88437E44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87B-474C-AA36-AA88437E44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87B-474C-AA36-AA88437E448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87B-474C-AA36-AA88437E448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87B-474C-AA36-AA88437E44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87B-474C-AA36-AA88437E44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87B-474C-AA36-AA88437E44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87B-474C-AA36-AA88437E448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87B-474C-AA36-AA88437E448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87B-474C-AA36-AA88437E448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13F-425D-84E5-B66917A49B0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EF6-4276-A965-173ABEC84B2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EF6-4276-A965-173ABEC84B2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EF6-4276-A965-173ABEC84B2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F29-4850-8D19-5A94E1F9CF11}"/>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CF29-4850-8D19-5A94E1F9CF11}"/>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CF29-4850-8D19-5A94E1F9CF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ova Light" panose="020B0304020202020204" pitchFamily="34" charset="0"/>
                    <a:ea typeface="+mn-ea"/>
                    <a:cs typeface="+mn-cs"/>
                  </a:defRPr>
                </a:pPr>
                <a:endParaRPr lang="fr-FR"/>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821E-4866-89AF-C090BB0DE22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Light" panose="020B03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2982718766783"/>
          <c:y val="6.3803678926825466E-2"/>
          <c:w val="0.864298571082038"/>
          <c:h val="0.5063830891782010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Bahnschrift" panose="020B0502040204020203"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de Synthèse'!$C$4:$C$22</c:f>
              <c:strCache>
                <c:ptCount val="19"/>
                <c:pt idx="0">
                  <c:v>Consommation d'énergie et d'eau</c:v>
                </c:pt>
                <c:pt idx="1">
                  <c:v>Climatisation</c:v>
                </c:pt>
                <c:pt idx="2">
                  <c:v>Bâtiments, travaux et agencements</c:v>
                </c:pt>
                <c:pt idx="3">
                  <c:v>Déchets</c:v>
                </c:pt>
                <c:pt idx="4">
                  <c:v>Déplacements liés à des prestations</c:v>
                </c:pt>
                <c:pt idx="5">
                  <c:v>Déplacements professionnels</c:v>
                </c:pt>
                <c:pt idx="6">
                  <c:v>Déplacement des salariés</c:v>
                </c:pt>
                <c:pt idx="7">
                  <c:v>Déplacements des visiteurs</c:v>
                </c:pt>
                <c:pt idx="8">
                  <c:v>Tournées artistiques</c:v>
                </c:pt>
                <c:pt idx="9">
                  <c:v>Artistes invité.e.s</c:v>
                </c:pt>
                <c:pt idx="10">
                  <c:v>Equipements</c:v>
                </c:pt>
                <c:pt idx="11">
                  <c:v>Achats - Documents papiers</c:v>
                </c:pt>
                <c:pt idx="12">
                  <c:v>Décors</c:v>
                </c:pt>
                <c:pt idx="13">
                  <c:v>Alimentation</c:v>
                </c:pt>
                <c:pt idx="14">
                  <c:v>Autres achats</c:v>
                </c:pt>
                <c:pt idx="15">
                  <c:v>Transport de matériel et d'œuvres</c:v>
                </c:pt>
                <c:pt idx="16">
                  <c:v>Impression et communication papier</c:v>
                </c:pt>
                <c:pt idx="17">
                  <c:v>Communication digitale</c:v>
                </c:pt>
                <c:pt idx="18">
                  <c:v>Billetterie</c:v>
                </c:pt>
              </c:strCache>
            </c:strRef>
          </c:cat>
          <c:val>
            <c:numRef>
              <c:f>'Tableau de Synthèse'!$E$4:$E$22</c:f>
              <c:numCache>
                <c:formatCode>_-* #\ ##0.00_-;\-* #\ ##0.00_-;_-*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76DA-4262-BD32-19C019AA1B5E}"/>
            </c:ext>
          </c:extLst>
        </c:ser>
        <c:dLbls>
          <c:dLblPos val="outEnd"/>
          <c:showLegendKey val="0"/>
          <c:showVal val="1"/>
          <c:showCatName val="0"/>
          <c:showSerName val="0"/>
          <c:showPercent val="0"/>
          <c:showBubbleSize val="0"/>
        </c:dLbls>
        <c:gapWidth val="219"/>
        <c:overlap val="-27"/>
        <c:axId val="547587704"/>
        <c:axId val="547588096"/>
      </c:barChart>
      <c:catAx>
        <c:axId val="547587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Bahnschrift" panose="020B0502040204020203" pitchFamily="34" charset="0"/>
                <a:ea typeface="+mn-ea"/>
                <a:cs typeface="+mn-cs"/>
              </a:defRPr>
            </a:pPr>
            <a:endParaRPr lang="fr-FR"/>
          </a:p>
        </c:txPr>
        <c:crossAx val="547588096"/>
        <c:crosses val="autoZero"/>
        <c:auto val="1"/>
        <c:lblAlgn val="ctr"/>
        <c:lblOffset val="100"/>
        <c:noMultiLvlLbl val="0"/>
      </c:catAx>
      <c:valAx>
        <c:axId val="547588096"/>
        <c:scaling>
          <c:orientation val="minMax"/>
        </c:scaling>
        <c:delete val="1"/>
        <c:axPos val="l"/>
        <c:numFmt formatCode="_-* #\ ##0.00_-;\-* #\ ##0.00_-;_-* &quot;-&quot;??_-;_-@_-" sourceLinked="1"/>
        <c:majorTickMark val="none"/>
        <c:minorTickMark val="none"/>
        <c:tickLblPos val="nextTo"/>
        <c:crossAx val="547587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latin typeface="Bahnschrift" panose="020B0502040204020203"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Tableau de Synth&#232;se'!A1"/><Relationship Id="rId1" Type="http://schemas.openxmlformats.org/officeDocument/2006/relationships/hyperlink" Target="#'0_Commencer'!A1"/></Relationships>
</file>

<file path=xl/drawings/_rels/drawing2.xml.rels><?xml version="1.0" encoding="UTF-8" standalone="yes"?>
<Relationships xmlns="http://schemas.openxmlformats.org/package/2006/relationships"><Relationship Id="rId3" Type="http://schemas.openxmlformats.org/officeDocument/2006/relationships/hyperlink" Target="#'1_Votre Structure'!A1"/><Relationship Id="rId2" Type="http://schemas.openxmlformats.org/officeDocument/2006/relationships/hyperlink" Target="#'Bienvenue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0_Commencer'!A1"/><Relationship Id="rId2" Type="http://schemas.openxmlformats.org/officeDocument/2006/relationships/hyperlink" Target="#'Bienvenue !'!A1"/><Relationship Id="rId1" Type="http://schemas.openxmlformats.org/officeDocument/2006/relationships/hyperlink" Target="#'2_ConsoEnergieEau'!A1"/><Relationship Id="rId4" Type="http://schemas.openxmlformats.org/officeDocument/2006/relationships/hyperlink" Target="#'Tableau de Synth&#232;se'!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1_Votre Structure'!A1"/><Relationship Id="rId6" Type="http://schemas.openxmlformats.org/officeDocument/2006/relationships/hyperlink" Target="#'Bienvenue !'!A1"/><Relationship Id="rId5" Type="http://schemas.openxmlformats.org/officeDocument/2006/relationships/hyperlink" Target="#'Tableau de Synth&#232;se'!A1"/><Relationship Id="rId4" Type="http://schemas.openxmlformats.org/officeDocument/2006/relationships/hyperlink" Target="#'3_Climatisation'!A1"/></Relationships>
</file>

<file path=xl/drawings/_rels/drawing5.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4_B&#226;timents,travaux, agcmt'!A1"/><Relationship Id="rId1" Type="http://schemas.openxmlformats.org/officeDocument/2006/relationships/hyperlink" Target="#'1_Votre Structure'!A1"/><Relationship Id="rId4" Type="http://schemas.openxmlformats.org/officeDocument/2006/relationships/hyperlink" Target="#'Tableau de Synth&#232;se'!A1"/></Relationships>
</file>

<file path=xl/drawings/_rels/drawing6.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5_D&#233;chets'!A1"/><Relationship Id="rId1" Type="http://schemas.openxmlformats.org/officeDocument/2006/relationships/hyperlink" Target="#'3_Climatisation'!A1"/><Relationship Id="rId4" Type="http://schemas.openxmlformats.org/officeDocument/2006/relationships/hyperlink" Target="#'Tableau de Synth&#232;se'!A1"/></Relationships>
</file>

<file path=xl/drawings/_rels/drawing7.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6_D&#233;placementsPrestations'!A1"/><Relationship Id="rId1" Type="http://schemas.openxmlformats.org/officeDocument/2006/relationships/hyperlink" Target="#'4_B&#226;timents,travaux, agcmt'!A1"/><Relationship Id="rId4" Type="http://schemas.openxmlformats.org/officeDocument/2006/relationships/hyperlink" Target="#'Tableau de Synth&#232;se'!A1"/></Relationships>
</file>

<file path=xl/drawings/_rels/drawing8.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7_D&#233;placementsProfessionnels'!A1"/><Relationship Id="rId1" Type="http://schemas.openxmlformats.org/officeDocument/2006/relationships/hyperlink" Target="#'5_D&#233;chets'!A1"/><Relationship Id="rId4" Type="http://schemas.openxmlformats.org/officeDocument/2006/relationships/hyperlink" Target="#'Tableau de Synth&#232;se'!A1"/></Relationships>
</file>

<file path=xl/drawings/_rels/drawing9.xml.rels><?xml version="1.0" encoding="UTF-8" standalone="yes"?>
<Relationships xmlns="http://schemas.openxmlformats.org/package/2006/relationships"><Relationship Id="rId3" Type="http://schemas.openxmlformats.org/officeDocument/2006/relationships/hyperlink" Target="#'8_D&#233;placementsSalari&#233;s'!A1"/><Relationship Id="rId2" Type="http://schemas.openxmlformats.org/officeDocument/2006/relationships/hyperlink" Target="#'6_D&#233;placementsPrestations'!A1"/><Relationship Id="rId1" Type="http://schemas.openxmlformats.org/officeDocument/2006/relationships/chart" Target="../charts/chart3.xml"/><Relationship Id="rId6" Type="http://schemas.openxmlformats.org/officeDocument/2006/relationships/chart" Target="../charts/chart4.xml"/><Relationship Id="rId5" Type="http://schemas.openxmlformats.org/officeDocument/2006/relationships/hyperlink" Target="#'Bienvenue !'!A1"/><Relationship Id="rId4" Type="http://schemas.openxmlformats.org/officeDocument/2006/relationships/hyperlink" Target="#'Tableau de Synth&#232;se'!A1"/></Relationships>
</file>

<file path=xl/drawings/_rels/drawing10.xml.rels><?xml version="1.0" encoding="UTF-8" standalone="yes"?>
<Relationships xmlns="http://schemas.openxmlformats.org/package/2006/relationships"><Relationship Id="rId8" Type="http://schemas.openxmlformats.org/officeDocument/2006/relationships/hyperlink" Target="#'Tableau de Synth&#232;se'!A1"/><Relationship Id="rId3" Type="http://schemas.openxmlformats.org/officeDocument/2006/relationships/chart" Target="../charts/chart7.xml"/><Relationship Id="rId7" Type="http://schemas.openxmlformats.org/officeDocument/2006/relationships/hyperlink" Target="#'Bienvenue !'!A1"/><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9_D&#233;placementsVisiteurs'!A1"/><Relationship Id="rId5" Type="http://schemas.openxmlformats.org/officeDocument/2006/relationships/hyperlink" Target="#'7_D&#233;placementsProfessionnels'!A1"/><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hyperlink" Target="#'8_D&#233;placementsSalari&#233;s'!A1"/><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Tableau de Synth&#232;se'!A1"/><Relationship Id="rId5" Type="http://schemas.openxmlformats.org/officeDocument/2006/relationships/hyperlink" Target="#'Bienvenue !'!A1"/><Relationship Id="rId4" Type="http://schemas.openxmlformats.org/officeDocument/2006/relationships/hyperlink" Target="#'10_Tourn&#233;es artistiques'!A1"/></Relationships>
</file>

<file path=xl/drawings/_rels/drawing12.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1_Artistes invit&#233;.e.s'!A1"/><Relationship Id="rId1" Type="http://schemas.openxmlformats.org/officeDocument/2006/relationships/hyperlink" Target="#'9_D&#233;placementsVisiteurs'!A1"/><Relationship Id="rId4" Type="http://schemas.openxmlformats.org/officeDocument/2006/relationships/hyperlink" Target="#'Tableau de Synth&#232;se'!A1"/></Relationships>
</file>

<file path=xl/drawings/_rels/drawing13.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2_Equipements'!A1"/><Relationship Id="rId1" Type="http://schemas.openxmlformats.org/officeDocument/2006/relationships/hyperlink" Target="#'10_Tourn&#233;es artistiques'!A1"/><Relationship Id="rId4" Type="http://schemas.openxmlformats.org/officeDocument/2006/relationships/hyperlink" Target="#'Tableau de Synth&#232;se'!A1"/></Relationships>
</file>

<file path=xl/drawings/_rels/drawing14.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3_Achats - Documents papiers'!A1"/><Relationship Id="rId1" Type="http://schemas.openxmlformats.org/officeDocument/2006/relationships/hyperlink" Target="#'11_Artistes invit&#233;.e.s'!A1"/><Relationship Id="rId5" Type="http://schemas.openxmlformats.org/officeDocument/2006/relationships/chart" Target="../charts/chart11.xml"/><Relationship Id="rId4" Type="http://schemas.openxmlformats.org/officeDocument/2006/relationships/hyperlink" Target="#'Tableau de Synth&#232;se'!A1"/></Relationships>
</file>

<file path=xl/drawings/_rels/drawing15.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4_D&#233;cors'!A1"/><Relationship Id="rId1" Type="http://schemas.openxmlformats.org/officeDocument/2006/relationships/hyperlink" Target="#'12_Equipements'!A1"/><Relationship Id="rId4" Type="http://schemas.openxmlformats.org/officeDocument/2006/relationships/hyperlink" Target="#'Tableau de Synth&#232;se'!A1"/></Relationships>
</file>

<file path=xl/drawings/_rels/drawing16.xml.rels><?xml version="1.0" encoding="UTF-8" standalone="yes"?>
<Relationships xmlns="http://schemas.openxmlformats.org/package/2006/relationships"><Relationship Id="rId3" Type="http://schemas.openxmlformats.org/officeDocument/2006/relationships/hyperlink" Target="#'13_Achats - Documents papiers'!A1"/><Relationship Id="rId2" Type="http://schemas.openxmlformats.org/officeDocument/2006/relationships/hyperlink" Target="#'Tableau de Synth&#232;se'!A1"/><Relationship Id="rId1" Type="http://schemas.openxmlformats.org/officeDocument/2006/relationships/hyperlink" Target="#'Bienvenue !'!A1"/><Relationship Id="rId4" Type="http://schemas.openxmlformats.org/officeDocument/2006/relationships/hyperlink" Target="#'15_Alimentation'!A1"/></Relationships>
</file>

<file path=xl/drawings/_rels/drawing17.xml.rels><?xml version="1.0" encoding="UTF-8" standalone="yes"?>
<Relationships xmlns="http://schemas.openxmlformats.org/package/2006/relationships"><Relationship Id="rId3" Type="http://schemas.openxmlformats.org/officeDocument/2006/relationships/hyperlink" Target="#'16_Autres achats (&#8364;)'!A1"/><Relationship Id="rId2" Type="http://schemas.openxmlformats.org/officeDocument/2006/relationships/hyperlink" Target="#'14_D&#233;cors'!A1"/><Relationship Id="rId1" Type="http://schemas.openxmlformats.org/officeDocument/2006/relationships/chart" Target="../charts/chart12.xml"/><Relationship Id="rId5" Type="http://schemas.openxmlformats.org/officeDocument/2006/relationships/hyperlink" Target="#'Tableau de Synth&#232;se'!A1"/><Relationship Id="rId4" Type="http://schemas.openxmlformats.org/officeDocument/2006/relationships/hyperlink" Target="#'Bienvenue !'!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15_Alimentation'!A1"/><Relationship Id="rId6" Type="http://schemas.openxmlformats.org/officeDocument/2006/relationships/hyperlink" Target="#'Tableau de Synth&#232;se'!A1"/><Relationship Id="rId5" Type="http://schemas.openxmlformats.org/officeDocument/2006/relationships/hyperlink" Target="#'Bienvenue !'!A1"/><Relationship Id="rId4" Type="http://schemas.openxmlformats.org/officeDocument/2006/relationships/hyperlink" Target="#'17_TransportMat&#233;riel'!A1"/></Relationships>
</file>

<file path=xl/drawings/_rels/drawing19.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8_ImpressionsComPapier'!A1"/><Relationship Id="rId1" Type="http://schemas.openxmlformats.org/officeDocument/2006/relationships/hyperlink" Target="#'16_Autres achats (&#8364;)'!A1"/><Relationship Id="rId4" Type="http://schemas.openxmlformats.org/officeDocument/2006/relationships/hyperlink" Target="#'Tableau de Synth&#232;se'!A1"/></Relationships>
</file>

<file path=xl/drawings/_rels/drawing20.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19_ComDigitale'!A1"/><Relationship Id="rId1" Type="http://schemas.openxmlformats.org/officeDocument/2006/relationships/hyperlink" Target="#'17_TransportMat&#233;riel'!A1"/><Relationship Id="rId4" Type="http://schemas.openxmlformats.org/officeDocument/2006/relationships/hyperlink" Target="#'Tableau de Synth&#232;se'!A1"/></Relationships>
</file>

<file path=xl/drawings/_rels/drawing21.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20_Billetterie'!A1"/><Relationship Id="rId1" Type="http://schemas.openxmlformats.org/officeDocument/2006/relationships/hyperlink" Target="#'18_ImpressionsComPapier'!A1"/><Relationship Id="rId4" Type="http://schemas.openxmlformats.org/officeDocument/2006/relationships/hyperlink" Target="#'Tableau de Synth&#232;se'!A1"/></Relationships>
</file>

<file path=xl/drawings/_rels/drawing22.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hyperlink" Target="#'Tableau de Synth&#232;se'!A1"/><Relationship Id="rId1" Type="http://schemas.openxmlformats.org/officeDocument/2006/relationships/hyperlink" Target="#'19_ComDigitale'!A1"/></Relationships>
</file>

<file path=xl/drawings/_rels/drawing23.xml.rels><?xml version="1.0" encoding="UTF-8" standalone="yes"?>
<Relationships xmlns="http://schemas.openxmlformats.org/package/2006/relationships"><Relationship Id="rId3" Type="http://schemas.openxmlformats.org/officeDocument/2006/relationships/hyperlink" Target="#'Bienvenue !'!A1"/><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hyperlink" Target="#'Synth&#232;se imprimable'!A1"/></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1039615</xdr:colOff>
      <xdr:row>18</xdr:row>
      <xdr:rowOff>44056</xdr:rowOff>
    </xdr:from>
    <xdr:to>
      <xdr:col>5</xdr:col>
      <xdr:colOff>298253</xdr:colOff>
      <xdr:row>20</xdr:row>
      <xdr:rowOff>62708</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224537" y="6384134"/>
          <a:ext cx="3143052" cy="37584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800" b="1"/>
            <a:t>Démarrer mon bilan</a:t>
          </a:r>
        </a:p>
      </xdr:txBody>
    </xdr:sp>
    <xdr:clientData/>
  </xdr:twoCellAnchor>
  <xdr:twoCellAnchor>
    <xdr:from>
      <xdr:col>5</xdr:col>
      <xdr:colOff>657147</xdr:colOff>
      <xdr:row>17</xdr:row>
      <xdr:rowOff>38100</xdr:rowOff>
    </xdr:from>
    <xdr:to>
      <xdr:col>6</xdr:col>
      <xdr:colOff>485775</xdr:colOff>
      <xdr:row>20</xdr:row>
      <xdr:rowOff>120650</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7715172" y="6219825"/>
          <a:ext cx="981153" cy="62547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468774</xdr:colOff>
      <xdr:row>4</xdr:row>
      <xdr:rowOff>530943</xdr:rowOff>
    </xdr:from>
    <xdr:to>
      <xdr:col>12</xdr:col>
      <xdr:colOff>436554</xdr:colOff>
      <xdr:row>6</xdr:row>
      <xdr:rowOff>879231</xdr:rowOff>
    </xdr:to>
    <xdr:pic>
      <xdr:nvPicPr>
        <xdr:cNvPr id="5" name="Image 4">
          <a:extLst>
            <a:ext uri="{FF2B5EF4-FFF2-40B4-BE49-F238E27FC236}">
              <a16:creationId xmlns:a16="http://schemas.microsoft.com/office/drawing/2014/main" id="{2AA33B4D-7527-9A7A-C78E-2113BB0592BE}"/>
            </a:ext>
          </a:extLst>
        </xdr:cNvPr>
        <xdr:cNvPicPr>
          <a:picLocks noChangeAspect="1"/>
        </xdr:cNvPicPr>
      </xdr:nvPicPr>
      <xdr:blipFill rotWithShape="1">
        <a:blip xmlns:r="http://schemas.openxmlformats.org/officeDocument/2006/relationships" r:embed="rId1"/>
        <a:srcRect l="2041" r="2511" b="18890"/>
        <a:stretch/>
      </xdr:blipFill>
      <xdr:spPr>
        <a:xfrm>
          <a:off x="10396755" y="2472578"/>
          <a:ext cx="1488116" cy="2674586"/>
        </a:xfrm>
        <a:prstGeom prst="rect">
          <a:avLst/>
        </a:prstGeom>
      </xdr:spPr>
    </xdr:pic>
    <xdr:clientData/>
  </xdr:twoCellAnchor>
  <xdr:twoCellAnchor>
    <xdr:from>
      <xdr:col>0</xdr:col>
      <xdr:colOff>380999</xdr:colOff>
      <xdr:row>2</xdr:row>
      <xdr:rowOff>180975</xdr:rowOff>
    </xdr:from>
    <xdr:to>
      <xdr:col>1</xdr:col>
      <xdr:colOff>447674</xdr:colOff>
      <xdr:row>2</xdr:row>
      <xdr:rowOff>857250</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80999" y="638175"/>
          <a:ext cx="828675" cy="676275"/>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chorCtr="0"/>
        <a:lstStyle/>
        <a:p>
          <a:pPr algn="l"/>
          <a:r>
            <a:rPr lang="fr-FR" sz="1200" b="1">
              <a:latin typeface="Arial" panose="020B0604020202020204" pitchFamily="34" charset="0"/>
              <a:cs typeface="Arial" panose="020B0604020202020204" pitchFamily="34" charset="0"/>
            </a:rPr>
            <a:t>Retour Accueil</a:t>
          </a:r>
        </a:p>
      </xdr:txBody>
    </xdr:sp>
    <xdr:clientData/>
  </xdr:twoCellAnchor>
  <xdr:twoCellAnchor>
    <xdr:from>
      <xdr:col>7</xdr:col>
      <xdr:colOff>897548</xdr:colOff>
      <xdr:row>12</xdr:row>
      <xdr:rowOff>36634</xdr:rowOff>
    </xdr:from>
    <xdr:to>
      <xdr:col>12</xdr:col>
      <xdr:colOff>723494</xdr:colOff>
      <xdr:row>14</xdr:row>
      <xdr:rowOff>55201</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418510" y="11027019"/>
          <a:ext cx="4753301" cy="384913"/>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 Informations génériques sur votre structure</a:t>
          </a:r>
        </a:p>
      </xdr:txBody>
    </xdr:sp>
    <xdr:clientData/>
  </xdr:twoCellAnchor>
  <xdr:twoCellAnchor>
    <xdr:from>
      <xdr:col>11</xdr:col>
      <xdr:colOff>190500</xdr:colOff>
      <xdr:row>4</xdr:row>
      <xdr:rowOff>304802</xdr:rowOff>
    </xdr:from>
    <xdr:to>
      <xdr:col>11</xdr:col>
      <xdr:colOff>533401</xdr:colOff>
      <xdr:row>4</xdr:row>
      <xdr:rowOff>657223</xdr:rowOff>
    </xdr:to>
    <xdr:cxnSp macro="">
      <xdr:nvCxnSpPr>
        <xdr:cNvPr id="8" name="Connecteur en arc 7">
          <a:extLst>
            <a:ext uri="{FF2B5EF4-FFF2-40B4-BE49-F238E27FC236}">
              <a16:creationId xmlns:a16="http://schemas.microsoft.com/office/drawing/2014/main" id="{00000000-0008-0000-0100-000008000000}"/>
            </a:ext>
          </a:extLst>
        </xdr:cNvPr>
        <xdr:cNvCxnSpPr/>
      </xdr:nvCxnSpPr>
      <xdr:spPr>
        <a:xfrm rot="16200000" flipH="1">
          <a:off x="8234365" y="2252662"/>
          <a:ext cx="352421" cy="342901"/>
        </a:xfrm>
        <a:prstGeom prst="curvedConnector3">
          <a:avLst>
            <a:gd name="adj1" fmla="val 50000"/>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xdr:colOff>
      <xdr:row>22</xdr:row>
      <xdr:rowOff>85701</xdr:rowOff>
    </xdr:from>
    <xdr:to>
      <xdr:col>10</xdr:col>
      <xdr:colOff>731934</xdr:colOff>
      <xdr:row>24</xdr:row>
      <xdr:rowOff>84691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80820" y="450332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2) Consommations</a:t>
          </a:r>
          <a:r>
            <a:rPr lang="fr-FR" sz="1400" b="1" baseline="0"/>
            <a:t> d'énergie et d'eau</a:t>
          </a:r>
          <a:endParaRPr lang="fr-FR" sz="1400" b="1"/>
        </a:p>
      </xdr:txBody>
    </xdr:sp>
    <xdr:clientData/>
  </xdr:twoCellAnchor>
  <xdr:twoCellAnchor>
    <xdr:from>
      <xdr:col>0</xdr:col>
      <xdr:colOff>210171</xdr:colOff>
      <xdr:row>2</xdr:row>
      <xdr:rowOff>95471</xdr:rowOff>
    </xdr:from>
    <xdr:to>
      <xdr:col>0</xdr:col>
      <xdr:colOff>1650171</xdr:colOff>
      <xdr:row>4</xdr:row>
      <xdr:rowOff>94461</xdr:rowOff>
    </xdr:to>
    <xdr:sp macro="" textlink="">
      <xdr:nvSpPr>
        <xdr:cNvPr id="3" name="Rogner un rectangle avec un coin diagonal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10171" y="541983"/>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xdr:col>
      <xdr:colOff>67886</xdr:colOff>
      <xdr:row>22</xdr:row>
      <xdr:rowOff>85701</xdr:rowOff>
    </xdr:from>
    <xdr:to>
      <xdr:col>3</xdr:col>
      <xdr:colOff>1654841</xdr:colOff>
      <xdr:row>24</xdr:row>
      <xdr:rowOff>84691</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flipH="1">
          <a:off x="1958438" y="450332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0) Pour bien commencer</a:t>
          </a:r>
        </a:p>
      </xdr:txBody>
    </xdr:sp>
    <xdr:clientData/>
  </xdr:twoCellAnchor>
  <xdr:twoCellAnchor>
    <xdr:from>
      <xdr:col>11</xdr:col>
      <xdr:colOff>229907</xdr:colOff>
      <xdr:row>20</xdr:row>
      <xdr:rowOff>136341</xdr:rowOff>
    </xdr:from>
    <xdr:to>
      <xdr:col>13</xdr:col>
      <xdr:colOff>585216</xdr:colOff>
      <xdr:row>24</xdr:row>
      <xdr:rowOff>55334</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F012F1AE-0941-4B1C-B368-874972636614}"/>
            </a:ext>
          </a:extLst>
        </xdr:cNvPr>
        <xdr:cNvSpPr/>
      </xdr:nvSpPr>
      <xdr:spPr>
        <a:xfrm>
          <a:off x="12387769" y="4225538"/>
          <a:ext cx="2008545"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133349</xdr:colOff>
      <xdr:row>22</xdr:row>
      <xdr:rowOff>111628</xdr:rowOff>
    </xdr:from>
    <xdr:to>
      <xdr:col>3</xdr:col>
      <xdr:colOff>1097509</xdr:colOff>
      <xdr:row>24</xdr:row>
      <xdr:rowOff>100062</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026012" y="3536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 Informations génériques sur votre structure</a:t>
          </a:r>
        </a:p>
      </xdr:txBody>
    </xdr:sp>
    <xdr:clientData/>
  </xdr:twoCellAnchor>
  <xdr:twoCellAnchor>
    <xdr:from>
      <xdr:col>1</xdr:col>
      <xdr:colOff>556885</xdr:colOff>
      <xdr:row>56</xdr:row>
      <xdr:rowOff>45720</xdr:rowOff>
    </xdr:from>
    <xdr:to>
      <xdr:col>5</xdr:col>
      <xdr:colOff>794753</xdr:colOff>
      <xdr:row>73</xdr:row>
      <xdr:rowOff>45891</xdr:rowOff>
    </xdr:to>
    <xdr:graphicFrame macro="">
      <xdr:nvGraphicFramePr>
        <xdr:cNvPr id="3" name="Graphique 2">
          <a:extLst>
            <a:ext uri="{FF2B5EF4-FFF2-40B4-BE49-F238E27FC236}">
              <a16:creationId xmlns:a16="http://schemas.microsoft.com/office/drawing/2014/main" id="{218AC723-DD42-49B3-8D3E-3A407A065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20242</xdr:colOff>
      <xdr:row>56</xdr:row>
      <xdr:rowOff>73660</xdr:rowOff>
    </xdr:from>
    <xdr:to>
      <xdr:col>9</xdr:col>
      <xdr:colOff>870584</xdr:colOff>
      <xdr:row>73</xdr:row>
      <xdr:rowOff>62230</xdr:rowOff>
    </xdr:to>
    <xdr:graphicFrame macro="">
      <xdr:nvGraphicFramePr>
        <xdr:cNvPr id="4" name="Graphique 3">
          <a:extLst>
            <a:ext uri="{FF2B5EF4-FFF2-40B4-BE49-F238E27FC236}">
              <a16:creationId xmlns:a16="http://schemas.microsoft.com/office/drawing/2014/main" id="{7C786A88-D326-49AA-AE7A-FB3CCA46A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96154</xdr:colOff>
      <xdr:row>22</xdr:row>
      <xdr:rowOff>111628</xdr:rowOff>
    </xdr:from>
    <xdr:to>
      <xdr:col>9</xdr:col>
      <xdr:colOff>1060315</xdr:colOff>
      <xdr:row>24</xdr:row>
      <xdr:rowOff>100062</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8816337" y="3536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3) Climatisation</a:t>
          </a:r>
        </a:p>
      </xdr:txBody>
    </xdr:sp>
    <xdr:clientData/>
  </xdr:twoCellAnchor>
  <xdr:twoCellAnchor>
    <xdr:from>
      <xdr:col>10</xdr:col>
      <xdr:colOff>229907</xdr:colOff>
      <xdr:row>20</xdr:row>
      <xdr:rowOff>136341</xdr:rowOff>
    </xdr:from>
    <xdr:to>
      <xdr:col>12</xdr:col>
      <xdr:colOff>585216</xdr:colOff>
      <xdr:row>24</xdr:row>
      <xdr:rowOff>55334</xdr:rowOff>
    </xdr:to>
    <xdr:sp macro="" textlink="">
      <xdr:nvSpPr>
        <xdr:cNvPr id="7" name="Rogner un rectangle avec un coin diagonal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2373138" y="4306005"/>
          <a:ext cx="2006455" cy="6714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0</xdr:col>
      <xdr:colOff>209007</xdr:colOff>
      <xdr:row>2</xdr:row>
      <xdr:rowOff>81280</xdr:rowOff>
    </xdr:from>
    <xdr:to>
      <xdr:col>0</xdr:col>
      <xdr:colOff>1649007</xdr:colOff>
      <xdr:row>4</xdr:row>
      <xdr:rowOff>69715</xdr:rowOff>
    </xdr:to>
    <xdr:sp macro="" textlink="">
      <xdr:nvSpPr>
        <xdr:cNvPr id="6" name="Rogner un rectangle avec un coin diagonal 2">
          <a:hlinkClick xmlns:r="http://schemas.openxmlformats.org/officeDocument/2006/relationships" r:id="rId6"/>
          <a:extLst>
            <a:ext uri="{FF2B5EF4-FFF2-40B4-BE49-F238E27FC236}">
              <a16:creationId xmlns:a16="http://schemas.microsoft.com/office/drawing/2014/main" id="{2D69FFB2-95B0-452D-9F6D-6B5E05465BB6}"/>
            </a:ext>
          </a:extLst>
        </xdr:cNvPr>
        <xdr:cNvSpPr/>
      </xdr:nvSpPr>
      <xdr:spPr>
        <a:xfrm>
          <a:off x="209007" y="580572"/>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96011</xdr:colOff>
      <xdr:row>25</xdr:row>
      <xdr:rowOff>109728</xdr:rowOff>
    </xdr:from>
    <xdr:to>
      <xdr:col>4</xdr:col>
      <xdr:colOff>12819</xdr:colOff>
      <xdr:row>27</xdr:row>
      <xdr:rowOff>103968</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987512" y="4509298"/>
          <a:ext cx="3240000" cy="3704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2) Consommations d'énergie et d'eau</a:t>
          </a:r>
        </a:p>
      </xdr:txBody>
    </xdr:sp>
    <xdr:clientData/>
  </xdr:twoCellAnchor>
  <xdr:twoCellAnchor>
    <xdr:from>
      <xdr:col>7</xdr:col>
      <xdr:colOff>218</xdr:colOff>
      <xdr:row>25</xdr:row>
      <xdr:rowOff>109728</xdr:rowOff>
    </xdr:from>
    <xdr:to>
      <xdr:col>9</xdr:col>
      <xdr:colOff>1024757</xdr:colOff>
      <xdr:row>27</xdr:row>
      <xdr:rowOff>103968</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8538101" y="4509298"/>
          <a:ext cx="3240000" cy="3704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4) Bâtiments,</a:t>
          </a:r>
          <a:r>
            <a:rPr lang="fr-FR" sz="1400" b="1" baseline="0"/>
            <a:t> travaux, agencements</a:t>
          </a:r>
          <a:endParaRPr lang="fr-FR" sz="1400" b="1"/>
        </a:p>
      </xdr:txBody>
    </xdr:sp>
    <xdr:clientData/>
  </xdr:twoCellAnchor>
  <xdr:twoCellAnchor>
    <xdr:from>
      <xdr:col>0</xdr:col>
      <xdr:colOff>243840</xdr:colOff>
      <xdr:row>2</xdr:row>
      <xdr:rowOff>85344</xdr:rowOff>
    </xdr:from>
    <xdr:to>
      <xdr:col>0</xdr:col>
      <xdr:colOff>1683840</xdr:colOff>
      <xdr:row>7</xdr:row>
      <xdr:rowOff>79584</xdr:rowOff>
    </xdr:to>
    <xdr:sp macro="" textlink="">
      <xdr:nvSpPr>
        <xdr:cNvPr id="3" name="Rogner un rectangle avec un coin diagonal 2">
          <a:hlinkClick xmlns:r="http://schemas.openxmlformats.org/officeDocument/2006/relationships" r:id="rId3"/>
          <a:extLst>
            <a:ext uri="{FF2B5EF4-FFF2-40B4-BE49-F238E27FC236}">
              <a16:creationId xmlns:a16="http://schemas.microsoft.com/office/drawing/2014/main" id="{BCAFFFA8-1B60-4699-814F-9C4DCA56B734}"/>
            </a:ext>
          </a:extLst>
        </xdr:cNvPr>
        <xdr:cNvSpPr/>
      </xdr:nvSpPr>
      <xdr:spPr>
        <a:xfrm>
          <a:off x="243840" y="585216"/>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10</xdr:col>
      <xdr:colOff>229907</xdr:colOff>
      <xdr:row>23</xdr:row>
      <xdr:rowOff>136341</xdr:rowOff>
    </xdr:from>
    <xdr:to>
      <xdr:col>12</xdr:col>
      <xdr:colOff>585216</xdr:colOff>
      <xdr:row>27</xdr:row>
      <xdr:rowOff>55334</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94B40618-7191-438E-8AE4-1A4ACDD986E5}"/>
            </a:ext>
          </a:extLst>
        </xdr:cNvPr>
        <xdr:cNvSpPr/>
      </xdr:nvSpPr>
      <xdr:spPr>
        <a:xfrm>
          <a:off x="12387769" y="4225538"/>
          <a:ext cx="2008545"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43</xdr:row>
      <xdr:rowOff>134301</xdr:rowOff>
    </xdr:from>
    <xdr:to>
      <xdr:col>3</xdr:col>
      <xdr:colOff>915899</xdr:colOff>
      <xdr:row>45</xdr:row>
      <xdr:rowOff>128541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CEAE5360-4702-4A5C-B2A4-F3ED5E7C59FA}"/>
            </a:ext>
          </a:extLst>
        </xdr:cNvPr>
        <xdr:cNvSpPr/>
      </xdr:nvSpPr>
      <xdr:spPr>
        <a:xfrm flipH="1">
          <a:off x="1962149" y="8238171"/>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3) Climatisation</a:t>
          </a:r>
        </a:p>
      </xdr:txBody>
    </xdr:sp>
    <xdr:clientData/>
  </xdr:twoCellAnchor>
  <xdr:twoCellAnchor>
    <xdr:from>
      <xdr:col>9</xdr:col>
      <xdr:colOff>307239</xdr:colOff>
      <xdr:row>43</xdr:row>
      <xdr:rowOff>134301</xdr:rowOff>
    </xdr:from>
    <xdr:to>
      <xdr:col>11</xdr:col>
      <xdr:colOff>1135198</xdr:colOff>
      <xdr:row>45</xdr:row>
      <xdr:rowOff>128541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86434551-F72F-4358-9D48-695EE5C3936C}"/>
            </a:ext>
          </a:extLst>
        </xdr:cNvPr>
        <xdr:cNvSpPr/>
      </xdr:nvSpPr>
      <xdr:spPr>
        <a:xfrm>
          <a:off x="10627601" y="7489042"/>
          <a:ext cx="3240000" cy="35011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5) Déchets</a:t>
          </a:r>
        </a:p>
      </xdr:txBody>
    </xdr:sp>
    <xdr:clientData/>
  </xdr:twoCellAnchor>
  <xdr:twoCellAnchor>
    <xdr:from>
      <xdr:col>0</xdr:col>
      <xdr:colOff>182880</xdr:colOff>
      <xdr:row>2</xdr:row>
      <xdr:rowOff>91440</xdr:rowOff>
    </xdr:from>
    <xdr:to>
      <xdr:col>0</xdr:col>
      <xdr:colOff>1622880</xdr:colOff>
      <xdr:row>4</xdr:row>
      <xdr:rowOff>85680</xdr:rowOff>
    </xdr:to>
    <xdr:sp macro="" textlink="">
      <xdr:nvSpPr>
        <xdr:cNvPr id="8" name="Rogner un rectangle avec un coin diagonal 2">
          <a:hlinkClick xmlns:r="http://schemas.openxmlformats.org/officeDocument/2006/relationships" r:id="rId3"/>
          <a:extLst>
            <a:ext uri="{FF2B5EF4-FFF2-40B4-BE49-F238E27FC236}">
              <a16:creationId xmlns:a16="http://schemas.microsoft.com/office/drawing/2014/main" id="{524822B5-61BC-4696-8772-A599A51372E1}"/>
            </a:ext>
          </a:extLst>
        </xdr:cNvPr>
        <xdr:cNvSpPr/>
      </xdr:nvSpPr>
      <xdr:spPr>
        <a:xfrm>
          <a:off x="182880" y="594360"/>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12</xdr:col>
      <xdr:colOff>229907</xdr:colOff>
      <xdr:row>34</xdr:row>
      <xdr:rowOff>136341</xdr:rowOff>
    </xdr:from>
    <xdr:to>
      <xdr:col>14</xdr:col>
      <xdr:colOff>585216</xdr:colOff>
      <xdr:row>38</xdr:row>
      <xdr:rowOff>55334</xdr:rowOff>
    </xdr:to>
    <xdr:sp macro="" textlink="">
      <xdr:nvSpPr>
        <xdr:cNvPr id="9" name="Rogner un rectangle avec un coin diagonal 6">
          <a:hlinkClick xmlns:r="http://schemas.openxmlformats.org/officeDocument/2006/relationships" r:id="rId4"/>
          <a:extLst>
            <a:ext uri="{FF2B5EF4-FFF2-40B4-BE49-F238E27FC236}">
              <a16:creationId xmlns:a16="http://schemas.microsoft.com/office/drawing/2014/main" id="{2BB111A5-E81E-4A8E-92AE-464D1BE9FB55}"/>
            </a:ext>
          </a:extLst>
        </xdr:cNvPr>
        <xdr:cNvSpPr/>
      </xdr:nvSpPr>
      <xdr:spPr>
        <a:xfrm>
          <a:off x="12058585" y="4291375"/>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84044</xdr:colOff>
      <xdr:row>34</xdr:row>
      <xdr:rowOff>107577</xdr:rowOff>
    </xdr:from>
    <xdr:to>
      <xdr:col>3</xdr:col>
      <xdr:colOff>358776</xdr:colOff>
      <xdr:row>36</xdr:row>
      <xdr:rowOff>101816</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flipH="1">
          <a:off x="1965096" y="7226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4) Bâtiments, travaux, agencements</a:t>
          </a:r>
        </a:p>
      </xdr:txBody>
    </xdr:sp>
    <xdr:clientData/>
  </xdr:twoCellAnchor>
  <xdr:twoCellAnchor>
    <xdr:from>
      <xdr:col>8</xdr:col>
      <xdr:colOff>1155471</xdr:colOff>
      <xdr:row>34</xdr:row>
      <xdr:rowOff>107577</xdr:rowOff>
    </xdr:from>
    <xdr:to>
      <xdr:col>11</xdr:col>
      <xdr:colOff>986066</xdr:colOff>
      <xdr:row>36</xdr:row>
      <xdr:rowOff>101816</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859791" y="7226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6) Déplacements de</a:t>
          </a:r>
          <a:r>
            <a:rPr lang="fr-FR" sz="1400" b="1" baseline="0"/>
            <a:t> prestations</a:t>
          </a:r>
          <a:endParaRPr lang="fr-FR" sz="1400" b="1"/>
        </a:p>
      </xdr:txBody>
    </xdr:sp>
    <xdr:clientData/>
  </xdr:twoCellAnchor>
  <xdr:twoCellAnchor>
    <xdr:from>
      <xdr:col>0</xdr:col>
      <xdr:colOff>204395</xdr:colOff>
      <xdr:row>2</xdr:row>
      <xdr:rowOff>75305</xdr:rowOff>
    </xdr:from>
    <xdr:to>
      <xdr:col>0</xdr:col>
      <xdr:colOff>1644395</xdr:colOff>
      <xdr:row>4</xdr:row>
      <xdr:rowOff>69545</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6CB3F149-E110-4296-9543-D458EA512372}"/>
            </a:ext>
          </a:extLst>
        </xdr:cNvPr>
        <xdr:cNvSpPr/>
      </xdr:nvSpPr>
      <xdr:spPr>
        <a:xfrm>
          <a:off x="204395" y="580914"/>
          <a:ext cx="1440000" cy="36000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12</xdr:col>
      <xdr:colOff>229907</xdr:colOff>
      <xdr:row>32</xdr:row>
      <xdr:rowOff>136341</xdr:rowOff>
    </xdr:from>
    <xdr:to>
      <xdr:col>14</xdr:col>
      <xdr:colOff>585216</xdr:colOff>
      <xdr:row>36</xdr:row>
      <xdr:rowOff>55334</xdr:rowOff>
    </xdr:to>
    <xdr:sp macro="" textlink="">
      <xdr:nvSpPr>
        <xdr:cNvPr id="12" name="Rogner un rectangle avec un coin diagonal 6">
          <a:hlinkClick xmlns:r="http://schemas.openxmlformats.org/officeDocument/2006/relationships" r:id="rId4"/>
          <a:extLst>
            <a:ext uri="{FF2B5EF4-FFF2-40B4-BE49-F238E27FC236}">
              <a16:creationId xmlns:a16="http://schemas.microsoft.com/office/drawing/2014/main" id="{FE3EA6C0-B1FF-4358-9715-3098E65E5139}"/>
            </a:ext>
          </a:extLst>
        </xdr:cNvPr>
        <xdr:cNvSpPr/>
      </xdr:nvSpPr>
      <xdr:spPr>
        <a:xfrm>
          <a:off x="10515078" y="6778543"/>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80772</xdr:colOff>
      <xdr:row>25</xdr:row>
      <xdr:rowOff>97536</xdr:rowOff>
    </xdr:from>
    <xdr:to>
      <xdr:col>3</xdr:col>
      <xdr:colOff>565380</xdr:colOff>
      <xdr:row>27</xdr:row>
      <xdr:rowOff>91776</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1970532" y="5108448"/>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5)</a:t>
          </a:r>
          <a:r>
            <a:rPr lang="fr-FR" sz="1400" b="1" baseline="0"/>
            <a:t> Déchets</a:t>
          </a:r>
          <a:endParaRPr lang="fr-FR" sz="1400" b="1"/>
        </a:p>
      </xdr:txBody>
    </xdr:sp>
    <xdr:clientData/>
  </xdr:twoCellAnchor>
  <xdr:twoCellAnchor>
    <xdr:from>
      <xdr:col>7</xdr:col>
      <xdr:colOff>1157369</xdr:colOff>
      <xdr:row>25</xdr:row>
      <xdr:rowOff>97536</xdr:rowOff>
    </xdr:from>
    <xdr:to>
      <xdr:col>9</xdr:col>
      <xdr:colOff>1276217</xdr:colOff>
      <xdr:row>27</xdr:row>
      <xdr:rowOff>91776</xdr:rowOff>
    </xdr:to>
    <xdr:sp macro="" textlink="">
      <xdr:nvSpPr>
        <xdr:cNvPr id="3" name="Pentagon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9935609" y="457199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7) Déplacements</a:t>
          </a:r>
          <a:r>
            <a:rPr lang="fr-FR" sz="1400" b="1" baseline="0"/>
            <a:t> professionnels</a:t>
          </a:r>
          <a:endParaRPr lang="fr-FR" sz="1400" b="1"/>
        </a:p>
      </xdr:txBody>
    </xdr:sp>
    <xdr:clientData/>
  </xdr:twoCellAnchor>
  <xdr:twoCellAnchor>
    <xdr:from>
      <xdr:col>0</xdr:col>
      <xdr:colOff>231648</xdr:colOff>
      <xdr:row>2</xdr:row>
      <xdr:rowOff>109728</xdr:rowOff>
    </xdr:from>
    <xdr:to>
      <xdr:col>0</xdr:col>
      <xdr:colOff>1671648</xdr:colOff>
      <xdr:row>4</xdr:row>
      <xdr:rowOff>114418</xdr:rowOff>
    </xdr:to>
    <xdr:sp macro="" textlink="">
      <xdr:nvSpPr>
        <xdr:cNvPr id="4" name="Rogner un rectangle avec un coin diagonal 2">
          <a:hlinkClick xmlns:r="http://schemas.openxmlformats.org/officeDocument/2006/relationships" r:id="rId3"/>
          <a:extLst>
            <a:ext uri="{FF2B5EF4-FFF2-40B4-BE49-F238E27FC236}">
              <a16:creationId xmlns:a16="http://schemas.microsoft.com/office/drawing/2014/main" id="{2D9B847A-74B1-422E-A49C-834E75F487B9}"/>
            </a:ext>
          </a:extLst>
        </xdr:cNvPr>
        <xdr:cNvSpPr/>
      </xdr:nvSpPr>
      <xdr:spPr>
        <a:xfrm>
          <a:off x="231648" y="609600"/>
          <a:ext cx="1440000" cy="37045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10</xdr:col>
      <xdr:colOff>229907</xdr:colOff>
      <xdr:row>23</xdr:row>
      <xdr:rowOff>136341</xdr:rowOff>
    </xdr:from>
    <xdr:to>
      <xdr:col>12</xdr:col>
      <xdr:colOff>585216</xdr:colOff>
      <xdr:row>27</xdr:row>
      <xdr:rowOff>55334</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CCA6A921-5359-4616-9044-E987D371F77C}"/>
            </a:ext>
          </a:extLst>
        </xdr:cNvPr>
        <xdr:cNvSpPr/>
      </xdr:nvSpPr>
      <xdr:spPr>
        <a:xfrm>
          <a:off x="16879302" y="6566402"/>
          <a:ext cx="1993914" cy="65051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1126894</xdr:colOff>
      <xdr:row>76</xdr:row>
      <xdr:rowOff>1384</xdr:rowOff>
    </xdr:from>
    <xdr:to>
      <xdr:col>5</xdr:col>
      <xdr:colOff>1524000</xdr:colOff>
      <xdr:row>89</xdr:row>
      <xdr:rowOff>178265</xdr:rowOff>
    </xdr:to>
    <xdr:graphicFrame macro="">
      <xdr:nvGraphicFramePr>
        <xdr:cNvPr id="4" name="Graphique 3">
          <a:extLst>
            <a:ext uri="{FF2B5EF4-FFF2-40B4-BE49-F238E27FC236}">
              <a16:creationId xmlns:a16="http://schemas.microsoft.com/office/drawing/2014/main" id="{486A4AB6-2B08-4B85-B6C8-68C6F339A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157751</xdr:colOff>
      <xdr:row>47</xdr:row>
      <xdr:rowOff>103412</xdr:rowOff>
    </xdr:from>
    <xdr:to>
      <xdr:col>3</xdr:col>
      <xdr:colOff>750346</xdr:colOff>
      <xdr:row>49</xdr:row>
      <xdr:rowOff>91847</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flipH="1">
          <a:off x="2050414" y="12690201"/>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6) Déplacements des prestations</a:t>
          </a:r>
        </a:p>
      </xdr:txBody>
    </xdr:sp>
    <xdr:clientData/>
  </xdr:twoCellAnchor>
  <xdr:twoCellAnchor>
    <xdr:from>
      <xdr:col>10</xdr:col>
      <xdr:colOff>702260</xdr:colOff>
      <xdr:row>47</xdr:row>
      <xdr:rowOff>103412</xdr:rowOff>
    </xdr:from>
    <xdr:to>
      <xdr:col>12</xdr:col>
      <xdr:colOff>1279528</xdr:colOff>
      <xdr:row>49</xdr:row>
      <xdr:rowOff>83022</xdr:rowOff>
    </xdr:to>
    <xdr:sp macro="" textlink="">
      <xdr:nvSpPr>
        <xdr:cNvPr id="6" name="Pentagon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4820596" y="989115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8) Déplacements</a:t>
          </a:r>
          <a:r>
            <a:rPr lang="fr-FR" sz="1400" b="1" baseline="0"/>
            <a:t> des salariés</a:t>
          </a:r>
          <a:endParaRPr lang="fr-FR" sz="1400" b="1"/>
        </a:p>
      </xdr:txBody>
    </xdr:sp>
    <xdr:clientData/>
  </xdr:twoCellAnchor>
  <xdr:twoCellAnchor>
    <xdr:from>
      <xdr:col>13</xdr:col>
      <xdr:colOff>637032</xdr:colOff>
      <xdr:row>42</xdr:row>
      <xdr:rowOff>139827</xdr:rowOff>
    </xdr:from>
    <xdr:to>
      <xdr:col>15</xdr:col>
      <xdr:colOff>256032</xdr:colOff>
      <xdr:row>46</xdr:row>
      <xdr:rowOff>61722</xdr:rowOff>
    </xdr:to>
    <xdr:sp macro="" textlink="">
      <xdr:nvSpPr>
        <xdr:cNvPr id="7" name="Rogner un rectangle avec un coin diagonal 6">
          <a:hlinkClick xmlns:r="http://schemas.openxmlformats.org/officeDocument/2006/relationships" r:id="rId4"/>
          <a:extLst>
            <a:ext uri="{FF2B5EF4-FFF2-40B4-BE49-F238E27FC236}">
              <a16:creationId xmlns:a16="http://schemas.microsoft.com/office/drawing/2014/main" id="{3FFA87D7-EA97-4B81-A0DA-A099FEA72F50}"/>
            </a:ext>
          </a:extLst>
        </xdr:cNvPr>
        <xdr:cNvSpPr/>
      </xdr:nvSpPr>
      <xdr:spPr>
        <a:xfrm>
          <a:off x="14901672" y="4784979"/>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11" name="Rogner un rectangle avec un coin diagonal 2">
          <a:hlinkClick xmlns:r="http://schemas.openxmlformats.org/officeDocument/2006/relationships" r:id="rId5"/>
          <a:extLst>
            <a:ext uri="{FF2B5EF4-FFF2-40B4-BE49-F238E27FC236}">
              <a16:creationId xmlns:a16="http://schemas.microsoft.com/office/drawing/2014/main" id="{4A3FEFB8-E2EA-4276-BAB4-E53838948D88}"/>
            </a:ext>
          </a:extLst>
        </xdr:cNvPr>
        <xdr:cNvSpPr/>
      </xdr:nvSpPr>
      <xdr:spPr>
        <a:xfrm>
          <a:off x="199505" y="611816"/>
          <a:ext cx="1440000" cy="370450"/>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6</xdr:col>
      <xdr:colOff>137160</xdr:colOff>
      <xdr:row>76</xdr:row>
      <xdr:rowOff>0</xdr:rowOff>
    </xdr:from>
    <xdr:to>
      <xdr:col>9</xdr:col>
      <xdr:colOff>1341986</xdr:colOff>
      <xdr:row>89</xdr:row>
      <xdr:rowOff>176881</xdr:rowOff>
    </xdr:to>
    <xdr:graphicFrame macro="">
      <xdr:nvGraphicFramePr>
        <xdr:cNvPr id="8" name="Graphique 7">
          <a:extLst>
            <a:ext uri="{FF2B5EF4-FFF2-40B4-BE49-F238E27FC236}">
              <a16:creationId xmlns:a16="http://schemas.microsoft.com/office/drawing/2014/main" id="{A60EA976-7A9C-4070-AD5D-739C76D6E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558799</xdr:colOff>
      <xdr:row>86</xdr:row>
      <xdr:rowOff>69962</xdr:rowOff>
    </xdr:from>
    <xdr:to>
      <xdr:col>6</xdr:col>
      <xdr:colOff>606425</xdr:colOff>
      <xdr:row>101</xdr:row>
      <xdr:rowOff>6350</xdr:rowOff>
    </xdr:to>
    <xdr:graphicFrame macro="">
      <xdr:nvGraphicFramePr>
        <xdr:cNvPr id="2" name="Graphique 1">
          <a:extLst>
            <a:ext uri="{FF2B5EF4-FFF2-40B4-BE49-F238E27FC236}">
              <a16:creationId xmlns:a16="http://schemas.microsoft.com/office/drawing/2014/main" id="{2BC0BB58-4007-41C8-BC9D-AFF6123DD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536165</xdr:colOff>
      <xdr:row>102</xdr:row>
      <xdr:rowOff>89088</xdr:rowOff>
    </xdr:from>
    <xdr:to>
      <xdr:col>6</xdr:col>
      <xdr:colOff>581025</xdr:colOff>
      <xdr:row>116</xdr:row>
      <xdr:rowOff>31750</xdr:rowOff>
    </xdr:to>
    <xdr:graphicFrame macro="">
      <xdr:nvGraphicFramePr>
        <xdr:cNvPr id="3" name="Graphique 2">
          <a:extLst>
            <a:ext uri="{FF2B5EF4-FFF2-40B4-BE49-F238E27FC236}">
              <a16:creationId xmlns:a16="http://schemas.microsoft.com/office/drawing/2014/main" id="{A93546B3-B347-4D32-9E84-3EA6D752D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928595</xdr:colOff>
      <xdr:row>86</xdr:row>
      <xdr:rowOff>69851</xdr:rowOff>
    </xdr:from>
    <xdr:to>
      <xdr:col>10</xdr:col>
      <xdr:colOff>504825</xdr:colOff>
      <xdr:row>105</xdr:row>
      <xdr:rowOff>81617</xdr:rowOff>
    </xdr:to>
    <xdr:graphicFrame macro="">
      <xdr:nvGraphicFramePr>
        <xdr:cNvPr id="4" name="Graphique 3">
          <a:extLst>
            <a:ext uri="{FF2B5EF4-FFF2-40B4-BE49-F238E27FC236}">
              <a16:creationId xmlns:a16="http://schemas.microsoft.com/office/drawing/2014/main" id="{537E945E-88C1-483B-B35B-DA8D83DC7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928780</xdr:colOff>
      <xdr:row>107</xdr:row>
      <xdr:rowOff>3922</xdr:rowOff>
    </xdr:from>
    <xdr:to>
      <xdr:col>10</xdr:col>
      <xdr:colOff>507999</xdr:colOff>
      <xdr:row>125</xdr:row>
      <xdr:rowOff>139700</xdr:rowOff>
    </xdr:to>
    <xdr:graphicFrame macro="">
      <xdr:nvGraphicFramePr>
        <xdr:cNvPr id="5" name="Graphique 4">
          <a:extLst>
            <a:ext uri="{FF2B5EF4-FFF2-40B4-BE49-F238E27FC236}">
              <a16:creationId xmlns:a16="http://schemas.microsoft.com/office/drawing/2014/main" id="{2B0C0871-EB4D-4284-997D-B270256A0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105302</xdr:colOff>
      <xdr:row>46</xdr:row>
      <xdr:rowOff>101949</xdr:rowOff>
    </xdr:from>
    <xdr:to>
      <xdr:col>4</xdr:col>
      <xdr:colOff>166974</xdr:colOff>
      <xdr:row>48</xdr:row>
      <xdr:rowOff>83577</xdr:rowOff>
    </xdr:to>
    <xdr:sp macro="" textlink="">
      <xdr:nvSpPr>
        <xdr:cNvPr id="10" name="Pentagone 9">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flipH="1">
          <a:off x="1997164" y="794687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7) Déplacements professionnels</a:t>
          </a:r>
        </a:p>
      </xdr:txBody>
    </xdr:sp>
    <xdr:clientData/>
  </xdr:twoCellAnchor>
  <xdr:twoCellAnchor>
    <xdr:from>
      <xdr:col>7</xdr:col>
      <xdr:colOff>984882</xdr:colOff>
      <xdr:row>46</xdr:row>
      <xdr:rowOff>101949</xdr:rowOff>
    </xdr:from>
    <xdr:to>
      <xdr:col>10</xdr:col>
      <xdr:colOff>945654</xdr:colOff>
      <xdr:row>48</xdr:row>
      <xdr:rowOff>83577</xdr:rowOff>
    </xdr:to>
    <xdr:sp macro="" textlink="">
      <xdr:nvSpPr>
        <xdr:cNvPr id="11" name="Pentagone 10">
          <a:hlinkClick xmlns:r="http://schemas.openxmlformats.org/officeDocument/2006/relationships" r:id="rId6"/>
          <a:extLst>
            <a:ext uri="{FF2B5EF4-FFF2-40B4-BE49-F238E27FC236}">
              <a16:creationId xmlns:a16="http://schemas.microsoft.com/office/drawing/2014/main" id="{00000000-0008-0000-0700-00000B000000}"/>
            </a:ext>
          </a:extLst>
        </xdr:cNvPr>
        <xdr:cNvSpPr/>
      </xdr:nvSpPr>
      <xdr:spPr>
        <a:xfrm>
          <a:off x="9233401" y="9081987"/>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9) Déplacements des visiteurs</a:t>
          </a:r>
        </a:p>
      </xdr:txBody>
    </xdr:sp>
    <xdr:clientData/>
  </xdr:twoCellAnchor>
  <xdr:twoCellAnchor>
    <xdr:from>
      <xdr:col>0</xdr:col>
      <xdr:colOff>199505</xdr:colOff>
      <xdr:row>2</xdr:row>
      <xdr:rowOff>106401</xdr:rowOff>
    </xdr:from>
    <xdr:to>
      <xdr:col>0</xdr:col>
      <xdr:colOff>1639505</xdr:colOff>
      <xdr:row>8</xdr:row>
      <xdr:rowOff>104442</xdr:rowOff>
    </xdr:to>
    <xdr:sp macro="" textlink="">
      <xdr:nvSpPr>
        <xdr:cNvPr id="6" name="Rogner un rectangle avec un coin diagonal 2">
          <a:hlinkClick xmlns:r="http://schemas.openxmlformats.org/officeDocument/2006/relationships" r:id="rId7"/>
          <a:extLst>
            <a:ext uri="{FF2B5EF4-FFF2-40B4-BE49-F238E27FC236}">
              <a16:creationId xmlns:a16="http://schemas.microsoft.com/office/drawing/2014/main" id="{7D4CFED7-6C96-45AF-A49D-69D9FE5895F8}"/>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11</xdr:col>
      <xdr:colOff>656082</xdr:colOff>
      <xdr:row>45</xdr:row>
      <xdr:rowOff>63500</xdr:rowOff>
    </xdr:from>
    <xdr:to>
      <xdr:col>13</xdr:col>
      <xdr:colOff>275082</xdr:colOff>
      <xdr:row>48</xdr:row>
      <xdr:rowOff>128397</xdr:rowOff>
    </xdr:to>
    <xdr:sp macro="" textlink="">
      <xdr:nvSpPr>
        <xdr:cNvPr id="7" name="Rogner un rectangle avec un coin diagonal 6">
          <a:hlinkClick xmlns:r="http://schemas.openxmlformats.org/officeDocument/2006/relationships" r:id="rId8"/>
          <a:extLst>
            <a:ext uri="{FF2B5EF4-FFF2-40B4-BE49-F238E27FC236}">
              <a16:creationId xmlns:a16="http://schemas.microsoft.com/office/drawing/2014/main" id="{573B7051-12BE-463C-B0C2-C953FBB4EA63}"/>
            </a:ext>
          </a:extLst>
        </xdr:cNvPr>
        <xdr:cNvSpPr/>
      </xdr:nvSpPr>
      <xdr:spPr>
        <a:xfrm>
          <a:off x="14054582" y="8461375"/>
          <a:ext cx="1174750" cy="588772"/>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953952</xdr:colOff>
      <xdr:row>77</xdr:row>
      <xdr:rowOff>145217</xdr:rowOff>
    </xdr:from>
    <xdr:to>
      <xdr:col>5</xdr:col>
      <xdr:colOff>1197429</xdr:colOff>
      <xdr:row>94</xdr:row>
      <xdr:rowOff>91169</xdr:rowOff>
    </xdr:to>
    <xdr:graphicFrame macro="">
      <xdr:nvGraphicFramePr>
        <xdr:cNvPr id="2" name="Graphique 1">
          <a:extLst>
            <a:ext uri="{FF2B5EF4-FFF2-40B4-BE49-F238E27FC236}">
              <a16:creationId xmlns:a16="http://schemas.microsoft.com/office/drawing/2014/main" id="{DB7B7C39-7B0B-4EFE-8A16-EBBE784E6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928008</xdr:colOff>
      <xdr:row>94</xdr:row>
      <xdr:rowOff>113121</xdr:rowOff>
    </xdr:from>
    <xdr:to>
      <xdr:col>5</xdr:col>
      <xdr:colOff>1185184</xdr:colOff>
      <xdr:row>110</xdr:row>
      <xdr:rowOff>161926</xdr:rowOff>
    </xdr:to>
    <xdr:graphicFrame macro="">
      <xdr:nvGraphicFramePr>
        <xdr:cNvPr id="3" name="Graphique 2">
          <a:extLst>
            <a:ext uri="{FF2B5EF4-FFF2-40B4-BE49-F238E27FC236}">
              <a16:creationId xmlns:a16="http://schemas.microsoft.com/office/drawing/2014/main" id="{992B381F-719D-4971-8555-502C25F54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75697</xdr:colOff>
      <xdr:row>43</xdr:row>
      <xdr:rowOff>105578</xdr:rowOff>
    </xdr:from>
    <xdr:to>
      <xdr:col>3</xdr:col>
      <xdr:colOff>678374</xdr:colOff>
      <xdr:row>45</xdr:row>
      <xdr:rowOff>99819</xdr:rowOff>
    </xdr:to>
    <xdr:sp macro="" textlink="">
      <xdr:nvSpPr>
        <xdr:cNvPr id="4" name="Pentagone 3">
          <a:hlinkClick xmlns:r="http://schemas.openxmlformats.org/officeDocument/2006/relationships" r:id="rId3"/>
          <a:extLst>
            <a:ext uri="{FF2B5EF4-FFF2-40B4-BE49-F238E27FC236}">
              <a16:creationId xmlns:a16="http://schemas.microsoft.com/office/drawing/2014/main" id="{00000000-0008-0000-1000-000004000000}"/>
            </a:ext>
          </a:extLst>
        </xdr:cNvPr>
        <xdr:cNvSpPr/>
      </xdr:nvSpPr>
      <xdr:spPr>
        <a:xfrm flipH="1">
          <a:off x="1962248" y="8421806"/>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8) Déplacements</a:t>
          </a:r>
          <a:r>
            <a:rPr lang="fr-FR" sz="1400" b="1" baseline="0"/>
            <a:t> des salariés</a:t>
          </a:r>
          <a:endParaRPr lang="fr-FR" sz="1400" b="1"/>
        </a:p>
      </xdr:txBody>
    </xdr:sp>
    <xdr:clientData/>
  </xdr:twoCellAnchor>
  <xdr:twoCellAnchor>
    <xdr:from>
      <xdr:col>4</xdr:col>
      <xdr:colOff>640144</xdr:colOff>
      <xdr:row>43</xdr:row>
      <xdr:rowOff>105578</xdr:rowOff>
    </xdr:from>
    <xdr:to>
      <xdr:col>6</xdr:col>
      <xdr:colOff>1246673</xdr:colOff>
      <xdr:row>45</xdr:row>
      <xdr:rowOff>99819</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1000-000005000000}"/>
            </a:ext>
          </a:extLst>
        </xdr:cNvPr>
        <xdr:cNvSpPr/>
      </xdr:nvSpPr>
      <xdr:spPr>
        <a:xfrm>
          <a:off x="6479004" y="7859691"/>
          <a:ext cx="3240000" cy="36665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10) Tournées</a:t>
          </a:r>
          <a:r>
            <a:rPr lang="fr-FR" sz="1400" b="1" baseline="0"/>
            <a:t> artistiques</a:t>
          </a:r>
          <a:endParaRPr lang="fr-FR" sz="1400" b="1"/>
        </a:p>
      </xdr:txBody>
    </xdr:sp>
    <xdr:clientData/>
  </xdr:twoCellAnchor>
  <xdr:twoCellAnchor>
    <xdr:from>
      <xdr:col>0</xdr:col>
      <xdr:colOff>199505</xdr:colOff>
      <xdr:row>2</xdr:row>
      <xdr:rowOff>106401</xdr:rowOff>
    </xdr:from>
    <xdr:to>
      <xdr:col>0</xdr:col>
      <xdr:colOff>1639505</xdr:colOff>
      <xdr:row>7</xdr:row>
      <xdr:rowOff>104442</xdr:rowOff>
    </xdr:to>
    <xdr:sp macro="" textlink="">
      <xdr:nvSpPr>
        <xdr:cNvPr id="6" name="Rogner un rectangle avec un coin diagonal 2">
          <a:hlinkClick xmlns:r="http://schemas.openxmlformats.org/officeDocument/2006/relationships" r:id="rId5"/>
          <a:extLst>
            <a:ext uri="{FF2B5EF4-FFF2-40B4-BE49-F238E27FC236}">
              <a16:creationId xmlns:a16="http://schemas.microsoft.com/office/drawing/2014/main" id="{978FE169-6C10-43EA-A607-09710B08AFFA}"/>
            </a:ext>
          </a:extLst>
        </xdr:cNvPr>
        <xdr:cNvSpPr/>
      </xdr:nvSpPr>
      <xdr:spPr>
        <a:xfrm>
          <a:off x="199505" y="603835"/>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7</xdr:col>
      <xdr:colOff>637032</xdr:colOff>
      <xdr:row>41</xdr:row>
      <xdr:rowOff>139827</xdr:rowOff>
    </xdr:from>
    <xdr:to>
      <xdr:col>9</xdr:col>
      <xdr:colOff>256032</xdr:colOff>
      <xdr:row>45</xdr:row>
      <xdr:rowOff>61722</xdr:rowOff>
    </xdr:to>
    <xdr:sp macro="" textlink="">
      <xdr:nvSpPr>
        <xdr:cNvPr id="8" name="Rogner un rectangle avec un coin diagonal 6">
          <a:hlinkClick xmlns:r="http://schemas.openxmlformats.org/officeDocument/2006/relationships" r:id="rId6"/>
          <a:extLst>
            <a:ext uri="{FF2B5EF4-FFF2-40B4-BE49-F238E27FC236}">
              <a16:creationId xmlns:a16="http://schemas.microsoft.com/office/drawing/2014/main" id="{69EBD8CD-3671-43BB-8151-F8B6C6794CDF}"/>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65899</xdr:colOff>
      <xdr:row>96</xdr:row>
      <xdr:rowOff>133008</xdr:rowOff>
    </xdr:from>
    <xdr:to>
      <xdr:col>3</xdr:col>
      <xdr:colOff>1091793</xdr:colOff>
      <xdr:row>98</xdr:row>
      <xdr:rowOff>116419</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flipH="1">
          <a:off x="1870046" y="19911390"/>
          <a:ext cx="3513600" cy="342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9) Déplacements</a:t>
          </a:r>
          <a:r>
            <a:rPr lang="fr-FR" sz="1400" b="1" baseline="0"/>
            <a:t> des visiteurs</a:t>
          </a:r>
          <a:endParaRPr lang="fr-FR" sz="1400" b="1"/>
        </a:p>
      </xdr:txBody>
    </xdr:sp>
    <xdr:clientData/>
  </xdr:twoCellAnchor>
  <xdr:twoCellAnchor>
    <xdr:from>
      <xdr:col>9</xdr:col>
      <xdr:colOff>542614</xdr:colOff>
      <xdr:row>96</xdr:row>
      <xdr:rowOff>133008</xdr:rowOff>
    </xdr:from>
    <xdr:to>
      <xdr:col>11</xdr:col>
      <xdr:colOff>1192217</xdr:colOff>
      <xdr:row>98</xdr:row>
      <xdr:rowOff>116419</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12667379" y="19911390"/>
          <a:ext cx="3507103" cy="342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11) Artistes invité.e.s</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949281AD-C9B9-473F-8001-9F561F25CF8E}"/>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12</xdr:col>
      <xdr:colOff>561765</xdr:colOff>
      <xdr:row>80</xdr:row>
      <xdr:rowOff>429119</xdr:rowOff>
    </xdr:from>
    <xdr:to>
      <xdr:col>14</xdr:col>
      <xdr:colOff>318657</xdr:colOff>
      <xdr:row>84</xdr:row>
      <xdr:rowOff>109720</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E0AE6E7C-BEA7-408A-8D99-2D7057F2CD11}"/>
            </a:ext>
          </a:extLst>
        </xdr:cNvPr>
        <xdr:cNvSpPr/>
      </xdr:nvSpPr>
      <xdr:spPr>
        <a:xfrm>
          <a:off x="16787883" y="17865472"/>
          <a:ext cx="1325715" cy="857219"/>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46100</xdr:colOff>
      <xdr:row>48</xdr:row>
      <xdr:rowOff>97255</xdr:rowOff>
    </xdr:from>
    <xdr:to>
      <xdr:col>3</xdr:col>
      <xdr:colOff>1303362</xdr:colOff>
      <xdr:row>50</xdr:row>
      <xdr:rowOff>1</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flipH="1">
          <a:off x="1853049" y="9902402"/>
          <a:ext cx="3148254" cy="28094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10) Tournées artistiques</a:t>
          </a:r>
        </a:p>
      </xdr:txBody>
    </xdr:sp>
    <xdr:clientData/>
  </xdr:twoCellAnchor>
  <xdr:twoCellAnchor>
    <xdr:from>
      <xdr:col>13</xdr:col>
      <xdr:colOff>159203</xdr:colOff>
      <xdr:row>48</xdr:row>
      <xdr:rowOff>94080</xdr:rowOff>
    </xdr:from>
    <xdr:to>
      <xdr:col>15</xdr:col>
      <xdr:colOff>569442</xdr:colOff>
      <xdr:row>50</xdr:row>
      <xdr:rowOff>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17444277" y="9899227"/>
          <a:ext cx="3127665" cy="28412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12) Equipements</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EFC8D2FC-4237-4FC1-8BD4-E0DC21D8A1FA}"/>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16</xdr:col>
      <xdr:colOff>637032</xdr:colOff>
      <xdr:row>45</xdr:row>
      <xdr:rowOff>139827</xdr:rowOff>
    </xdr:from>
    <xdr:to>
      <xdr:col>18</xdr:col>
      <xdr:colOff>256032</xdr:colOff>
      <xdr:row>49</xdr:row>
      <xdr:rowOff>61722</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5A20A932-1E95-4ACB-9B4C-50E3621B1F56}"/>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116026</xdr:colOff>
      <xdr:row>183</xdr:row>
      <xdr:rowOff>90168</xdr:rowOff>
    </xdr:from>
    <xdr:to>
      <xdr:col>4</xdr:col>
      <xdr:colOff>511226</xdr:colOff>
      <xdr:row>185</xdr:row>
      <xdr:rowOff>78601</xdr:rowOff>
    </xdr:to>
    <xdr:sp macro="" textlink="">
      <xdr:nvSpPr>
        <xdr:cNvPr id="4" name="Pentagon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2008689" y="2042177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11) Artistes invité.e.s</a:t>
          </a:r>
        </a:p>
      </xdr:txBody>
    </xdr:sp>
    <xdr:clientData/>
  </xdr:twoCellAnchor>
  <xdr:twoCellAnchor>
    <xdr:from>
      <xdr:col>10</xdr:col>
      <xdr:colOff>250916</xdr:colOff>
      <xdr:row>183</xdr:row>
      <xdr:rowOff>102360</xdr:rowOff>
    </xdr:from>
    <xdr:to>
      <xdr:col>13</xdr:col>
      <xdr:colOff>754484</xdr:colOff>
      <xdr:row>185</xdr:row>
      <xdr:rowOff>96600</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2442916" y="21670008"/>
          <a:ext cx="35028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13) Achats - Documents</a:t>
          </a:r>
          <a:r>
            <a:rPr lang="fr-FR" sz="1400" b="1" baseline="0">
              <a:solidFill>
                <a:schemeClr val="lt1"/>
              </a:solidFill>
              <a:effectLst/>
              <a:latin typeface="+mn-lt"/>
              <a:ea typeface="+mn-ea"/>
              <a:cs typeface="+mn-cs"/>
            </a:rPr>
            <a:t> papiers</a:t>
          </a:r>
          <a:endParaRPr lang="fr-FR" sz="1800">
            <a:effectLst/>
          </a:endParaRP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3"/>
          <a:extLst>
            <a:ext uri="{FF2B5EF4-FFF2-40B4-BE49-F238E27FC236}">
              <a16:creationId xmlns:a16="http://schemas.microsoft.com/office/drawing/2014/main" id="{28BD899C-410E-4297-8587-E3A566940BEA}"/>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14</xdr:col>
      <xdr:colOff>637032</xdr:colOff>
      <xdr:row>101</xdr:row>
      <xdr:rowOff>139827</xdr:rowOff>
    </xdr:from>
    <xdr:to>
      <xdr:col>16</xdr:col>
      <xdr:colOff>256032</xdr:colOff>
      <xdr:row>105</xdr:row>
      <xdr:rowOff>61722</xdr:rowOff>
    </xdr:to>
    <xdr:sp macro="" textlink="">
      <xdr:nvSpPr>
        <xdr:cNvPr id="8" name="Rogner un rectangle avec un coin diagonal 6">
          <a:hlinkClick xmlns:r="http://schemas.openxmlformats.org/officeDocument/2006/relationships" r:id="rId4"/>
          <a:extLst>
            <a:ext uri="{FF2B5EF4-FFF2-40B4-BE49-F238E27FC236}">
              <a16:creationId xmlns:a16="http://schemas.microsoft.com/office/drawing/2014/main" id="{047A48A0-5873-4681-ACF4-8041C9DC73AC}"/>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5</xdr:col>
      <xdr:colOff>685800</xdr:colOff>
      <xdr:row>188</xdr:row>
      <xdr:rowOff>45720</xdr:rowOff>
    </xdr:from>
    <xdr:to>
      <xdr:col>11</xdr:col>
      <xdr:colOff>525780</xdr:colOff>
      <xdr:row>201</xdr:row>
      <xdr:rowOff>5715</xdr:rowOff>
    </xdr:to>
    <xdr:graphicFrame macro="">
      <xdr:nvGraphicFramePr>
        <xdr:cNvPr id="7" name="Graphique 6">
          <a:extLst>
            <a:ext uri="{FF2B5EF4-FFF2-40B4-BE49-F238E27FC236}">
              <a16:creationId xmlns:a16="http://schemas.microsoft.com/office/drawing/2014/main" id="{C6789D06-0D08-4435-87AB-4E70FFF95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109366</xdr:colOff>
      <xdr:row>97</xdr:row>
      <xdr:rowOff>123998</xdr:rowOff>
    </xdr:from>
    <xdr:to>
      <xdr:col>3</xdr:col>
      <xdr:colOff>1181899</xdr:colOff>
      <xdr:row>99</xdr:row>
      <xdr:rowOff>104691</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6894C730-5063-457C-881A-4902AA897DA1}"/>
            </a:ext>
          </a:extLst>
        </xdr:cNvPr>
        <xdr:cNvSpPr/>
      </xdr:nvSpPr>
      <xdr:spPr>
        <a:xfrm flipH="1">
          <a:off x="1992353" y="9809865"/>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12) Equipements</a:t>
          </a:r>
        </a:p>
      </xdr:txBody>
    </xdr:sp>
    <xdr:clientData/>
  </xdr:twoCellAnchor>
  <xdr:twoCellAnchor>
    <xdr:from>
      <xdr:col>5</xdr:col>
      <xdr:colOff>1577405</xdr:colOff>
      <xdr:row>97</xdr:row>
      <xdr:rowOff>123998</xdr:rowOff>
    </xdr:from>
    <xdr:to>
      <xdr:col>8</xdr:col>
      <xdr:colOff>523112</xdr:colOff>
      <xdr:row>99</xdr:row>
      <xdr:rowOff>104691</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77BCF1AC-6298-490B-9EB9-0E45BAF464D1}"/>
            </a:ext>
          </a:extLst>
        </xdr:cNvPr>
        <xdr:cNvSpPr/>
      </xdr:nvSpPr>
      <xdr:spPr>
        <a:xfrm>
          <a:off x="8337192" y="9809865"/>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14)</a:t>
          </a:r>
          <a:r>
            <a:rPr lang="fr-FR" sz="1400" b="1" baseline="0"/>
            <a:t> Décors</a:t>
          </a:r>
          <a:endParaRPr lang="fr-FR" sz="1400" b="1"/>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3" name="Rogner un rectangle avec un coin diagonal 2">
          <a:hlinkClick xmlns:r="http://schemas.openxmlformats.org/officeDocument/2006/relationships" r:id="rId3"/>
          <a:extLst>
            <a:ext uri="{FF2B5EF4-FFF2-40B4-BE49-F238E27FC236}">
              <a16:creationId xmlns:a16="http://schemas.microsoft.com/office/drawing/2014/main" id="{E087B2DB-32DE-43DF-976C-02AFF8552E1C}"/>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229907</xdr:colOff>
      <xdr:row>20</xdr:row>
      <xdr:rowOff>136341</xdr:rowOff>
    </xdr:from>
    <xdr:to>
      <xdr:col>11</xdr:col>
      <xdr:colOff>585216</xdr:colOff>
      <xdr:row>24</xdr:row>
      <xdr:rowOff>54186</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2559037A-481F-46CB-A30F-FE454F0B704F}"/>
            </a:ext>
          </a:extLst>
        </xdr:cNvPr>
        <xdr:cNvSpPr/>
      </xdr:nvSpPr>
      <xdr:spPr>
        <a:xfrm>
          <a:off x="13912040" y="4186795"/>
          <a:ext cx="1980909" cy="676458"/>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199505</xdr:colOff>
      <xdr:row>2</xdr:row>
      <xdr:rowOff>106401</xdr:rowOff>
    </xdr:from>
    <xdr:to>
      <xdr:col>0</xdr:col>
      <xdr:colOff>1639505</xdr:colOff>
      <xdr:row>4</xdr:row>
      <xdr:rowOff>104442</xdr:rowOff>
    </xdr:to>
    <xdr:sp macro="" textlink="">
      <xdr:nvSpPr>
        <xdr:cNvPr id="3" name="Rogner un rectangle avec un coin diagonal 2">
          <a:hlinkClick xmlns:r="http://schemas.openxmlformats.org/officeDocument/2006/relationships" r:id="rId1"/>
          <a:extLst>
            <a:ext uri="{FF2B5EF4-FFF2-40B4-BE49-F238E27FC236}">
              <a16:creationId xmlns:a16="http://schemas.microsoft.com/office/drawing/2014/main" id="{A2BBF228-51B5-492A-99E5-EDBE920851A7}"/>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229907</xdr:colOff>
      <xdr:row>55</xdr:row>
      <xdr:rowOff>12291</xdr:rowOff>
    </xdr:from>
    <xdr:to>
      <xdr:col>11</xdr:col>
      <xdr:colOff>585216</xdr:colOff>
      <xdr:row>61</xdr:row>
      <xdr:rowOff>55334</xdr:rowOff>
    </xdr:to>
    <xdr:sp macro="" textlink="">
      <xdr:nvSpPr>
        <xdr:cNvPr id="6" name="Rogner un rectangle avec un coin diagonal 6">
          <a:hlinkClick xmlns:r="http://schemas.openxmlformats.org/officeDocument/2006/relationships" r:id="rId2"/>
          <a:extLst>
            <a:ext uri="{FF2B5EF4-FFF2-40B4-BE49-F238E27FC236}">
              <a16:creationId xmlns:a16="http://schemas.microsoft.com/office/drawing/2014/main" id="{E1E52B2E-D006-4D52-9ED5-2FB3E2F3D02D}"/>
            </a:ext>
          </a:extLst>
        </xdr:cNvPr>
        <xdr:cNvSpPr/>
      </xdr:nvSpPr>
      <xdr:spPr>
        <a:xfrm>
          <a:off x="11770520" y="8173065"/>
          <a:ext cx="1903890" cy="1149172"/>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twoCellAnchor>
    <xdr:from>
      <xdr:col>1</xdr:col>
      <xdr:colOff>65813</xdr:colOff>
      <xdr:row>64</xdr:row>
      <xdr:rowOff>10970</xdr:rowOff>
    </xdr:from>
    <xdr:to>
      <xdr:col>3</xdr:col>
      <xdr:colOff>1227591</xdr:colOff>
      <xdr:row>66</xdr:row>
      <xdr:rowOff>7172</xdr:rowOff>
    </xdr:to>
    <xdr:sp macro="" textlink="">
      <xdr:nvSpPr>
        <xdr:cNvPr id="4" name="Pentagone 4">
          <a:hlinkClick xmlns:r="http://schemas.openxmlformats.org/officeDocument/2006/relationships" r:id="rId3"/>
          <a:extLst>
            <a:ext uri="{FF2B5EF4-FFF2-40B4-BE49-F238E27FC236}">
              <a16:creationId xmlns:a16="http://schemas.microsoft.com/office/drawing/2014/main" id="{A68C674B-ABF2-4418-9C8F-E4A74E4E3775}"/>
            </a:ext>
          </a:extLst>
        </xdr:cNvPr>
        <xdr:cNvSpPr/>
      </xdr:nvSpPr>
      <xdr:spPr>
        <a:xfrm flipH="1">
          <a:off x="1866904" y="12272243"/>
          <a:ext cx="3118732" cy="342565"/>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13) Achats - Documents</a:t>
          </a:r>
          <a:r>
            <a:rPr lang="fr-FR" sz="1400" b="1" baseline="0">
              <a:solidFill>
                <a:schemeClr val="lt1"/>
              </a:solidFill>
              <a:effectLst/>
              <a:latin typeface="+mn-lt"/>
              <a:ea typeface="+mn-ea"/>
              <a:cs typeface="+mn-cs"/>
            </a:rPr>
            <a:t> papiers</a:t>
          </a:r>
          <a:endParaRPr lang="fr-FR" sz="1800">
            <a:effectLst/>
          </a:endParaRPr>
        </a:p>
      </xdr:txBody>
    </xdr:sp>
    <xdr:clientData/>
  </xdr:twoCellAnchor>
  <xdr:twoCellAnchor>
    <xdr:from>
      <xdr:col>6</xdr:col>
      <xdr:colOff>162214</xdr:colOff>
      <xdr:row>64</xdr:row>
      <xdr:rowOff>10970</xdr:rowOff>
    </xdr:from>
    <xdr:to>
      <xdr:col>8</xdr:col>
      <xdr:colOff>735253</xdr:colOff>
      <xdr:row>66</xdr:row>
      <xdr:rowOff>7250</xdr:rowOff>
    </xdr:to>
    <xdr:sp macro="" textlink="">
      <xdr:nvSpPr>
        <xdr:cNvPr id="7" name="Pentagone 4">
          <a:hlinkClick xmlns:r="http://schemas.openxmlformats.org/officeDocument/2006/relationships" r:id="rId4"/>
          <a:extLst>
            <a:ext uri="{FF2B5EF4-FFF2-40B4-BE49-F238E27FC236}">
              <a16:creationId xmlns:a16="http://schemas.microsoft.com/office/drawing/2014/main" id="{29B83F14-5753-45E9-B768-912ED4552876}"/>
            </a:ext>
          </a:extLst>
        </xdr:cNvPr>
        <xdr:cNvSpPr/>
      </xdr:nvSpPr>
      <xdr:spPr>
        <a:xfrm>
          <a:off x="8232487" y="12272243"/>
          <a:ext cx="3447857" cy="342643"/>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15) Alimentation</a:t>
          </a:r>
          <a:endParaRPr lang="fr-FR"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298061</xdr:colOff>
      <xdr:row>37</xdr:row>
      <xdr:rowOff>50867</xdr:rowOff>
    </xdr:from>
    <xdr:to>
      <xdr:col>8</xdr:col>
      <xdr:colOff>1118179</xdr:colOff>
      <xdr:row>52</xdr:row>
      <xdr:rowOff>187075</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61893</xdr:colOff>
      <xdr:row>55</xdr:row>
      <xdr:rowOff>130737</xdr:rowOff>
    </xdr:from>
    <xdr:to>
      <xdr:col>3</xdr:col>
      <xdr:colOff>856525</xdr:colOff>
      <xdr:row>57</xdr:row>
      <xdr:rowOff>114527</xdr:rowOff>
    </xdr:to>
    <xdr:sp macro="" textlink="">
      <xdr:nvSpPr>
        <xdr:cNvPr id="5" name="Pentagone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flipH="1">
          <a:off x="1953394" y="1282783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14)</a:t>
          </a:r>
          <a:r>
            <a:rPr lang="fr-FR" sz="1400" b="1" baseline="0"/>
            <a:t> Décors</a:t>
          </a:r>
          <a:endParaRPr lang="fr-FR" sz="1400" b="1"/>
        </a:p>
      </xdr:txBody>
    </xdr:sp>
    <xdr:clientData/>
  </xdr:twoCellAnchor>
  <xdr:twoCellAnchor>
    <xdr:from>
      <xdr:col>6</xdr:col>
      <xdr:colOff>343054</xdr:colOff>
      <xdr:row>55</xdr:row>
      <xdr:rowOff>130737</xdr:rowOff>
    </xdr:from>
    <xdr:to>
      <xdr:col>8</xdr:col>
      <xdr:colOff>1137687</xdr:colOff>
      <xdr:row>57</xdr:row>
      <xdr:rowOff>114527</xdr:rowOff>
    </xdr:to>
    <xdr:sp macro="" textlink="">
      <xdr:nvSpPr>
        <xdr:cNvPr id="6" name="Pentagone 5">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8347973" y="10612374"/>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16) Autres achats (€)</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4"/>
          <a:extLst>
            <a:ext uri="{FF2B5EF4-FFF2-40B4-BE49-F238E27FC236}">
              <a16:creationId xmlns:a16="http://schemas.microsoft.com/office/drawing/2014/main" id="{224197B6-F3D7-476B-B85D-6DE2009D4446}"/>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637032</xdr:colOff>
      <xdr:row>53</xdr:row>
      <xdr:rowOff>139827</xdr:rowOff>
    </xdr:from>
    <xdr:to>
      <xdr:col>11</xdr:col>
      <xdr:colOff>256032</xdr:colOff>
      <xdr:row>57</xdr:row>
      <xdr:rowOff>61722</xdr:rowOff>
    </xdr:to>
    <xdr:sp macro="" textlink="">
      <xdr:nvSpPr>
        <xdr:cNvPr id="4" name="Rogner un rectangle avec un coin diagonal 6">
          <a:hlinkClick xmlns:r="http://schemas.openxmlformats.org/officeDocument/2006/relationships" r:id="rId5"/>
          <a:extLst>
            <a:ext uri="{FF2B5EF4-FFF2-40B4-BE49-F238E27FC236}">
              <a16:creationId xmlns:a16="http://schemas.microsoft.com/office/drawing/2014/main" id="{3C71445E-10DF-46DD-AF0C-4F8C2935AB1F}"/>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133348</xdr:colOff>
      <xdr:row>31</xdr:row>
      <xdr:rowOff>112408</xdr:rowOff>
    </xdr:from>
    <xdr:to>
      <xdr:col>3</xdr:col>
      <xdr:colOff>930814</xdr:colOff>
      <xdr:row>33</xdr:row>
      <xdr:rowOff>100449</xdr:rowOff>
    </xdr:to>
    <xdr:sp macro="" textlink="">
      <xdr:nvSpPr>
        <xdr:cNvPr id="2" name="Pentagone 1">
          <a:hlinkClick xmlns:r="http://schemas.openxmlformats.org/officeDocument/2006/relationships" r:id="rId1"/>
          <a:extLst>
            <a:ext uri="{FF2B5EF4-FFF2-40B4-BE49-F238E27FC236}">
              <a16:creationId xmlns:a16="http://schemas.microsoft.com/office/drawing/2014/main" id="{86525CD1-E733-47B9-998B-5455CB9E6AE0}"/>
            </a:ext>
          </a:extLst>
        </xdr:cNvPr>
        <xdr:cNvSpPr/>
      </xdr:nvSpPr>
      <xdr:spPr>
        <a:xfrm flipH="1">
          <a:off x="2017941" y="4662710"/>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15) Alimentation</a:t>
          </a:r>
        </a:p>
      </xdr:txBody>
    </xdr:sp>
    <xdr:clientData/>
  </xdr:twoCellAnchor>
  <xdr:twoCellAnchor>
    <xdr:from>
      <xdr:col>1</xdr:col>
      <xdr:colOff>487681</xdr:colOff>
      <xdr:row>59</xdr:row>
      <xdr:rowOff>10124</xdr:rowOff>
    </xdr:from>
    <xdr:to>
      <xdr:col>4</xdr:col>
      <xdr:colOff>556261</xdr:colOff>
      <xdr:row>79</xdr:row>
      <xdr:rowOff>91440</xdr:rowOff>
    </xdr:to>
    <xdr:graphicFrame macro="">
      <xdr:nvGraphicFramePr>
        <xdr:cNvPr id="3" name="Graphique 2">
          <a:extLst>
            <a:ext uri="{FF2B5EF4-FFF2-40B4-BE49-F238E27FC236}">
              <a16:creationId xmlns:a16="http://schemas.microsoft.com/office/drawing/2014/main" id="{60E9470C-34DC-4205-964F-BFDEAF39C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784860</xdr:colOff>
      <xdr:row>59</xdr:row>
      <xdr:rowOff>13298</xdr:rowOff>
    </xdr:from>
    <xdr:to>
      <xdr:col>7</xdr:col>
      <xdr:colOff>572027</xdr:colOff>
      <xdr:row>79</xdr:row>
      <xdr:rowOff>83819</xdr:rowOff>
    </xdr:to>
    <xdr:graphicFrame macro="">
      <xdr:nvGraphicFramePr>
        <xdr:cNvPr id="4" name="Graphique 3">
          <a:extLst>
            <a:ext uri="{FF2B5EF4-FFF2-40B4-BE49-F238E27FC236}">
              <a16:creationId xmlns:a16="http://schemas.microsoft.com/office/drawing/2014/main" id="{16F3A234-F01B-465C-AD2D-333A1FB1E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1207890</xdr:colOff>
      <xdr:row>31</xdr:row>
      <xdr:rowOff>112408</xdr:rowOff>
    </xdr:from>
    <xdr:to>
      <xdr:col>7</xdr:col>
      <xdr:colOff>765491</xdr:colOff>
      <xdr:row>33</xdr:row>
      <xdr:rowOff>100449</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F8D05BB7-D27A-42D6-8EB4-576D22DD91EC}"/>
            </a:ext>
          </a:extLst>
        </xdr:cNvPr>
        <xdr:cNvSpPr/>
      </xdr:nvSpPr>
      <xdr:spPr>
        <a:xfrm>
          <a:off x="7419610" y="5034669"/>
          <a:ext cx="3240000" cy="446792"/>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17) Transport de matériel artistique...</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5"/>
          <a:extLst>
            <a:ext uri="{FF2B5EF4-FFF2-40B4-BE49-F238E27FC236}">
              <a16:creationId xmlns:a16="http://schemas.microsoft.com/office/drawing/2014/main" id="{323A1F7F-64A2-4239-85D4-2CF08BE655A8}"/>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8</xdr:col>
      <xdr:colOff>572807</xdr:colOff>
      <xdr:row>23</xdr:row>
      <xdr:rowOff>136341</xdr:rowOff>
    </xdr:from>
    <xdr:to>
      <xdr:col>10</xdr:col>
      <xdr:colOff>924941</xdr:colOff>
      <xdr:row>28</xdr:row>
      <xdr:rowOff>55334</xdr:rowOff>
    </xdr:to>
    <xdr:sp macro="" textlink="">
      <xdr:nvSpPr>
        <xdr:cNvPr id="11" name="Rogner un rectangle avec un coin diagonal 6">
          <a:hlinkClick xmlns:r="http://schemas.openxmlformats.org/officeDocument/2006/relationships" r:id="rId6"/>
          <a:extLst>
            <a:ext uri="{FF2B5EF4-FFF2-40B4-BE49-F238E27FC236}">
              <a16:creationId xmlns:a16="http://schemas.microsoft.com/office/drawing/2014/main" id="{9B2B9826-438F-4121-8C21-853DA7141103}"/>
            </a:ext>
          </a:extLst>
        </xdr:cNvPr>
        <xdr:cNvSpPr/>
      </xdr:nvSpPr>
      <xdr:spPr>
        <a:xfrm>
          <a:off x="11164607" y="5346516"/>
          <a:ext cx="1857084" cy="73814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76374</xdr:colOff>
      <xdr:row>43</xdr:row>
      <xdr:rowOff>89326</xdr:rowOff>
    </xdr:from>
    <xdr:to>
      <xdr:col>3</xdr:col>
      <xdr:colOff>576498</xdr:colOff>
      <xdr:row>45</xdr:row>
      <xdr:rowOff>76915</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flipH="1">
          <a:off x="1965025" y="9665588"/>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16) Autres achats (€)</a:t>
          </a:r>
        </a:p>
      </xdr:txBody>
    </xdr:sp>
    <xdr:clientData/>
  </xdr:twoCellAnchor>
  <xdr:twoCellAnchor>
    <xdr:from>
      <xdr:col>8</xdr:col>
      <xdr:colOff>257913</xdr:colOff>
      <xdr:row>43</xdr:row>
      <xdr:rowOff>89326</xdr:rowOff>
    </xdr:from>
    <xdr:to>
      <xdr:col>10</xdr:col>
      <xdr:colOff>673906</xdr:colOff>
      <xdr:row>45</xdr:row>
      <xdr:rowOff>76915</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11366811" y="8408240"/>
          <a:ext cx="3240000" cy="361854"/>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18) Impression</a:t>
          </a:r>
          <a:r>
            <a:rPr lang="fr-FR" sz="1400" b="1" baseline="0"/>
            <a:t> et communication papier</a:t>
          </a:r>
          <a:endParaRPr lang="fr-FR" sz="1400" b="1"/>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5" name="Rogner un rectangle avec un coin diagonal 2">
          <a:hlinkClick xmlns:r="http://schemas.openxmlformats.org/officeDocument/2006/relationships" r:id="rId3"/>
          <a:extLst>
            <a:ext uri="{FF2B5EF4-FFF2-40B4-BE49-F238E27FC236}">
              <a16:creationId xmlns:a16="http://schemas.microsoft.com/office/drawing/2014/main" id="{5297F5BF-566D-43FA-B287-85A3BD15AE43}"/>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11</xdr:col>
      <xdr:colOff>637032</xdr:colOff>
      <xdr:row>41</xdr:row>
      <xdr:rowOff>139827</xdr:rowOff>
    </xdr:from>
    <xdr:to>
      <xdr:col>13</xdr:col>
      <xdr:colOff>256032</xdr:colOff>
      <xdr:row>45</xdr:row>
      <xdr:rowOff>61722</xdr:rowOff>
    </xdr:to>
    <xdr:sp macro="" textlink="">
      <xdr:nvSpPr>
        <xdr:cNvPr id="9" name="Rogner un rectangle avec un coin diagonal 6">
          <a:hlinkClick xmlns:r="http://schemas.openxmlformats.org/officeDocument/2006/relationships" r:id="rId4"/>
          <a:extLst>
            <a:ext uri="{FF2B5EF4-FFF2-40B4-BE49-F238E27FC236}">
              <a16:creationId xmlns:a16="http://schemas.microsoft.com/office/drawing/2014/main" id="{41F3FD82-3306-461C-8A53-3E86B27D2935}"/>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92842</xdr:colOff>
      <xdr:row>63</xdr:row>
      <xdr:rowOff>24064</xdr:rowOff>
    </xdr:from>
    <xdr:to>
      <xdr:col>4</xdr:col>
      <xdr:colOff>753270</xdr:colOff>
      <xdr:row>65</xdr:row>
      <xdr:rowOff>24720</xdr:rowOff>
    </xdr:to>
    <xdr:sp macro="" textlink="">
      <xdr:nvSpPr>
        <xdr:cNvPr id="2" name="Pentagone 2">
          <a:hlinkClick xmlns:r="http://schemas.openxmlformats.org/officeDocument/2006/relationships" r:id="rId1"/>
          <a:extLst>
            <a:ext uri="{FF2B5EF4-FFF2-40B4-BE49-F238E27FC236}">
              <a16:creationId xmlns:a16="http://schemas.microsoft.com/office/drawing/2014/main" id="{9A4F5286-3881-4453-8C9A-FD895E8D6D0A}"/>
            </a:ext>
          </a:extLst>
        </xdr:cNvPr>
        <xdr:cNvSpPr/>
      </xdr:nvSpPr>
      <xdr:spPr>
        <a:xfrm flipH="1">
          <a:off x="1979393" y="12947583"/>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17) Transport de matériel artistique...</a:t>
          </a:r>
        </a:p>
      </xdr:txBody>
    </xdr:sp>
    <xdr:clientData/>
  </xdr:twoCellAnchor>
  <xdr:twoCellAnchor>
    <xdr:from>
      <xdr:col>22</xdr:col>
      <xdr:colOff>68881</xdr:colOff>
      <xdr:row>63</xdr:row>
      <xdr:rowOff>24064</xdr:rowOff>
    </xdr:from>
    <xdr:to>
      <xdr:col>25</xdr:col>
      <xdr:colOff>729311</xdr:colOff>
      <xdr:row>65</xdr:row>
      <xdr:rowOff>24720</xdr:rowOff>
    </xdr:to>
    <xdr:sp macro="" textlink="">
      <xdr:nvSpPr>
        <xdr:cNvPr id="3" name="Pentagone 3">
          <a:hlinkClick xmlns:r="http://schemas.openxmlformats.org/officeDocument/2006/relationships" r:id="rId2"/>
          <a:extLst>
            <a:ext uri="{FF2B5EF4-FFF2-40B4-BE49-F238E27FC236}">
              <a16:creationId xmlns:a16="http://schemas.microsoft.com/office/drawing/2014/main" id="{B0969643-C168-49CD-B3EA-5597BC7EFD26}"/>
            </a:ext>
          </a:extLst>
        </xdr:cNvPr>
        <xdr:cNvSpPr/>
      </xdr:nvSpPr>
      <xdr:spPr>
        <a:xfrm>
          <a:off x="20012427" y="12947583"/>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19) Communication digitale</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6" name="Rogner un rectangle avec un coin diagonal 2">
          <a:hlinkClick xmlns:r="http://schemas.openxmlformats.org/officeDocument/2006/relationships" r:id="rId3"/>
          <a:extLst>
            <a:ext uri="{FF2B5EF4-FFF2-40B4-BE49-F238E27FC236}">
              <a16:creationId xmlns:a16="http://schemas.microsoft.com/office/drawing/2014/main" id="{572C8561-D6CF-46ED-80DE-4C44006300E9}"/>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26</xdr:col>
      <xdr:colOff>637032</xdr:colOff>
      <xdr:row>41</xdr:row>
      <xdr:rowOff>139827</xdr:rowOff>
    </xdr:from>
    <xdr:to>
      <xdr:col>28</xdr:col>
      <xdr:colOff>256032</xdr:colOff>
      <xdr:row>45</xdr:row>
      <xdr:rowOff>61722</xdr:rowOff>
    </xdr:to>
    <xdr:sp macro="" textlink="">
      <xdr:nvSpPr>
        <xdr:cNvPr id="8" name="Rogner un rectangle avec un coin diagonal 6">
          <a:hlinkClick xmlns:r="http://schemas.openxmlformats.org/officeDocument/2006/relationships" r:id="rId4"/>
          <a:extLst>
            <a:ext uri="{FF2B5EF4-FFF2-40B4-BE49-F238E27FC236}">
              <a16:creationId xmlns:a16="http://schemas.microsoft.com/office/drawing/2014/main" id="{F2D8C820-E915-4E33-86B3-42ECB31204D1}"/>
            </a:ext>
          </a:extLst>
        </xdr:cNvPr>
        <xdr:cNvSpPr/>
      </xdr:nvSpPr>
      <xdr:spPr>
        <a:xfrm>
          <a:off x="16350082" y="9400870"/>
          <a:ext cx="1257604"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59402</xdr:colOff>
      <xdr:row>68</xdr:row>
      <xdr:rowOff>96981</xdr:rowOff>
    </xdr:from>
    <xdr:to>
      <xdr:col>3</xdr:col>
      <xdr:colOff>1038340</xdr:colOff>
      <xdr:row>70</xdr:row>
      <xdr:rowOff>80137</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flipH="1">
          <a:off x="1943620" y="13197839"/>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solidFill>
                <a:schemeClr val="lt1"/>
              </a:solidFill>
              <a:effectLst/>
              <a:latin typeface="+mn-lt"/>
              <a:ea typeface="+mn-ea"/>
              <a:cs typeface="+mn-cs"/>
            </a:rPr>
            <a:t>18) Impression</a:t>
          </a:r>
          <a:r>
            <a:rPr lang="fr-FR" sz="1400" b="1" baseline="0">
              <a:solidFill>
                <a:schemeClr val="lt1"/>
              </a:solidFill>
              <a:effectLst/>
              <a:latin typeface="+mn-lt"/>
              <a:ea typeface="+mn-ea"/>
              <a:cs typeface="+mn-cs"/>
            </a:rPr>
            <a:t> et communication papier</a:t>
          </a:r>
          <a:endParaRPr lang="fr-FR" sz="1800">
            <a:effectLst/>
          </a:endParaRPr>
        </a:p>
      </xdr:txBody>
    </xdr:sp>
    <xdr:clientData/>
  </xdr:twoCellAnchor>
  <xdr:twoCellAnchor>
    <xdr:from>
      <xdr:col>10</xdr:col>
      <xdr:colOff>54450</xdr:colOff>
      <xdr:row>68</xdr:row>
      <xdr:rowOff>96981</xdr:rowOff>
    </xdr:from>
    <xdr:to>
      <xdr:col>12</xdr:col>
      <xdr:colOff>995289</xdr:colOff>
      <xdr:row>70</xdr:row>
      <xdr:rowOff>83312</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11877356" y="14408294"/>
          <a:ext cx="3083964" cy="343518"/>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20) Billetterie</a:t>
          </a:r>
        </a:p>
      </xdr:txBody>
    </xdr:sp>
    <xdr:clientData/>
  </xdr:twoCellAnchor>
  <xdr:twoCellAnchor>
    <xdr:from>
      <xdr:col>0</xdr:col>
      <xdr:colOff>199505</xdr:colOff>
      <xdr:row>2</xdr:row>
      <xdr:rowOff>106401</xdr:rowOff>
    </xdr:from>
    <xdr:to>
      <xdr:col>0</xdr:col>
      <xdr:colOff>1639505</xdr:colOff>
      <xdr:row>4</xdr:row>
      <xdr:rowOff>104442</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EE4ACBF2-C8B6-48BC-A5DC-0A12F14F2E35}"/>
            </a:ext>
          </a:extLst>
        </xdr:cNvPr>
        <xdr:cNvSpPr/>
      </xdr:nvSpPr>
      <xdr:spPr>
        <a:xfrm>
          <a:off x="199505" y="611150"/>
          <a:ext cx="1440000" cy="363801"/>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13</xdr:col>
      <xdr:colOff>637032</xdr:colOff>
      <xdr:row>68</xdr:row>
      <xdr:rowOff>139827</xdr:rowOff>
    </xdr:from>
    <xdr:to>
      <xdr:col>15</xdr:col>
      <xdr:colOff>256032</xdr:colOff>
      <xdr:row>71</xdr:row>
      <xdr:rowOff>61722</xdr:rowOff>
    </xdr:to>
    <xdr:sp macro="" textlink="">
      <xdr:nvSpPr>
        <xdr:cNvPr id="6" name="Rogner un rectangle avec un coin diagonal 6">
          <a:hlinkClick xmlns:r="http://schemas.openxmlformats.org/officeDocument/2006/relationships" r:id="rId4"/>
          <a:extLst>
            <a:ext uri="{FF2B5EF4-FFF2-40B4-BE49-F238E27FC236}">
              <a16:creationId xmlns:a16="http://schemas.microsoft.com/office/drawing/2014/main" id="{5C38CAA3-5345-4533-90B0-9070385072E7}"/>
            </a:ext>
          </a:extLst>
        </xdr:cNvPr>
        <xdr:cNvSpPr/>
      </xdr:nvSpPr>
      <xdr:spPr>
        <a:xfrm>
          <a:off x="14294510" y="8523046"/>
          <a:ext cx="1257605" cy="653415"/>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83820</xdr:colOff>
      <xdr:row>90</xdr:row>
      <xdr:rowOff>94812</xdr:rowOff>
    </xdr:from>
    <xdr:to>
      <xdr:col>3</xdr:col>
      <xdr:colOff>819772</xdr:colOff>
      <xdr:row>92</xdr:row>
      <xdr:rowOff>89052</xdr:rowOff>
    </xdr:to>
    <xdr:sp macro="" textlink="">
      <xdr:nvSpPr>
        <xdr:cNvPr id="3" name="Pentagon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flipH="1">
          <a:off x="1968891" y="12530652"/>
          <a:ext cx="3240000" cy="360000"/>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19) Communication digitale</a:t>
          </a:r>
        </a:p>
      </xdr:txBody>
    </xdr:sp>
    <xdr:clientData/>
  </xdr:twoCellAnchor>
  <xdr:twoCellAnchor>
    <xdr:from>
      <xdr:col>10</xdr:col>
      <xdr:colOff>274836</xdr:colOff>
      <xdr:row>90</xdr:row>
      <xdr:rowOff>94812</xdr:rowOff>
    </xdr:from>
    <xdr:to>
      <xdr:col>12</xdr:col>
      <xdr:colOff>1081021</xdr:colOff>
      <xdr:row>92</xdr:row>
      <xdr:rowOff>85877</xdr:rowOff>
    </xdr:to>
    <xdr:sp macro="" textlink="">
      <xdr:nvSpPr>
        <xdr:cNvPr id="4" name="Pentagone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12753966" y="18192312"/>
          <a:ext cx="3180533" cy="363782"/>
        </a:xfrm>
        <a:prstGeom prst="homePlate">
          <a:avLst>
            <a:gd name="adj" fmla="val 53931"/>
          </a:avLst>
        </a:prstGeom>
        <a:solidFill>
          <a:schemeClr val="accent4"/>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C'est terminé</a:t>
          </a:r>
          <a:r>
            <a:rPr lang="fr-FR" sz="1400" b="1" baseline="0"/>
            <a:t>, bravo !</a:t>
          </a:r>
        </a:p>
        <a:p>
          <a:pPr algn="ctr"/>
          <a:r>
            <a:rPr lang="fr-FR" sz="1400" b="1" baseline="0"/>
            <a:t>Vous pouvez passer à la synthèse</a:t>
          </a:r>
          <a:endParaRPr lang="fr-FR" sz="1400" b="1"/>
        </a:p>
      </xdr:txBody>
    </xdr:sp>
    <xdr:clientData/>
  </xdr:twoCellAnchor>
  <xdr:twoCellAnchor>
    <xdr:from>
      <xdr:col>0</xdr:col>
      <xdr:colOff>192051</xdr:colOff>
      <xdr:row>3</xdr:row>
      <xdr:rowOff>16119</xdr:rowOff>
    </xdr:from>
    <xdr:to>
      <xdr:col>0</xdr:col>
      <xdr:colOff>1628876</xdr:colOff>
      <xdr:row>4</xdr:row>
      <xdr:rowOff>193616</xdr:rowOff>
    </xdr:to>
    <xdr:sp macro="" textlink="">
      <xdr:nvSpPr>
        <xdr:cNvPr id="2" name="Rogner un rectangle avec un coin diagonal 2">
          <a:hlinkClick xmlns:r="http://schemas.openxmlformats.org/officeDocument/2006/relationships" r:id="rId3"/>
          <a:extLst>
            <a:ext uri="{FF2B5EF4-FFF2-40B4-BE49-F238E27FC236}">
              <a16:creationId xmlns:a16="http://schemas.microsoft.com/office/drawing/2014/main" id="{8DBB653F-26CD-4E83-9AC1-8F78511DF704}"/>
            </a:ext>
          </a:extLst>
        </xdr:cNvPr>
        <xdr:cNvSpPr/>
      </xdr:nvSpPr>
      <xdr:spPr>
        <a:xfrm>
          <a:off x="192051" y="692532"/>
          <a:ext cx="1436825" cy="356954"/>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ctr"/>
          <a:r>
            <a:rPr lang="fr-FR" sz="1200" b="1">
              <a:latin typeface="Arial" panose="020B0604020202020204" pitchFamily="34" charset="0"/>
              <a:cs typeface="Arial" panose="020B0604020202020204" pitchFamily="34" charset="0"/>
            </a:rPr>
            <a:t>Retour Accueil</a:t>
          </a:r>
        </a:p>
      </xdr:txBody>
    </xdr:sp>
    <xdr:clientData/>
  </xdr:twoCellAnchor>
  <xdr:twoCellAnchor>
    <xdr:from>
      <xdr:col>13</xdr:col>
      <xdr:colOff>637032</xdr:colOff>
      <xdr:row>86</xdr:row>
      <xdr:rowOff>0</xdr:rowOff>
    </xdr:from>
    <xdr:to>
      <xdr:col>15</xdr:col>
      <xdr:colOff>468923</xdr:colOff>
      <xdr:row>91</xdr:row>
      <xdr:rowOff>61722</xdr:rowOff>
    </xdr:to>
    <xdr:sp macro="" textlink="">
      <xdr:nvSpPr>
        <xdr:cNvPr id="5" name="Rogner un rectangle avec un coin diagonal 6">
          <a:hlinkClick xmlns:r="http://schemas.openxmlformats.org/officeDocument/2006/relationships" r:id="rId2"/>
          <a:extLst>
            <a:ext uri="{FF2B5EF4-FFF2-40B4-BE49-F238E27FC236}">
              <a16:creationId xmlns:a16="http://schemas.microsoft.com/office/drawing/2014/main" id="{9F43E99A-C62A-4D42-9834-A0B44AB1CB98}"/>
            </a:ext>
          </a:extLst>
        </xdr:cNvPr>
        <xdr:cNvSpPr/>
      </xdr:nvSpPr>
      <xdr:spPr>
        <a:xfrm>
          <a:off x="16477840" y="11327423"/>
          <a:ext cx="1385198" cy="940953"/>
        </a:xfrm>
        <a:prstGeom prst="snip2DiagRect">
          <a:avLst>
            <a:gd name="adj1" fmla="val 0"/>
            <a:gd name="adj2" fmla="val 22125"/>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nchorCtr="0"/>
        <a:lstStyle/>
        <a:p>
          <a:pPr algn="l"/>
          <a:r>
            <a:rPr lang="fr-FR" sz="1200" b="1">
              <a:latin typeface="Arial" panose="020B0604020202020204" pitchFamily="34" charset="0"/>
              <a:cs typeface="Arial" panose="020B0604020202020204" pitchFamily="34" charset="0"/>
            </a:rPr>
            <a:t>Consulter la</a:t>
          </a:r>
          <a:r>
            <a:rPr lang="fr-FR" sz="1200" b="1" baseline="0">
              <a:latin typeface="Arial" panose="020B0604020202020204" pitchFamily="34" charset="0"/>
              <a:cs typeface="Arial" panose="020B0604020202020204" pitchFamily="34" charset="0"/>
            </a:rPr>
            <a:t> synthèse</a:t>
          </a:r>
          <a:endParaRPr lang="fr-FR" sz="1200" b="1">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399863</xdr:colOff>
      <xdr:row>49</xdr:row>
      <xdr:rowOff>134283</xdr:rowOff>
    </xdr:from>
    <xdr:to>
      <xdr:col>12</xdr:col>
      <xdr:colOff>76200</xdr:colOff>
      <xdr:row>71</xdr:row>
      <xdr:rowOff>19050</xdr:rowOff>
    </xdr:to>
    <xdr:graphicFrame macro="">
      <xdr:nvGraphicFramePr>
        <xdr:cNvPr id="2" name="Graphique 1">
          <a:extLst>
            <a:ext uri="{FF2B5EF4-FFF2-40B4-BE49-F238E27FC236}">
              <a16:creationId xmlns:a16="http://schemas.microsoft.com/office/drawing/2014/main" id="{4C3DD7F0-320E-43AA-84F9-383BEBA85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372929</xdr:colOff>
      <xdr:row>26</xdr:row>
      <xdr:rowOff>35299</xdr:rowOff>
    </xdr:from>
    <xdr:to>
      <xdr:col>12</xdr:col>
      <xdr:colOff>66675</xdr:colOff>
      <xdr:row>49</xdr:row>
      <xdr:rowOff>41275</xdr:rowOff>
    </xdr:to>
    <xdr:graphicFrame macro="">
      <xdr:nvGraphicFramePr>
        <xdr:cNvPr id="3" name="Graphique 2">
          <a:extLst>
            <a:ext uri="{FF2B5EF4-FFF2-40B4-BE49-F238E27FC236}">
              <a16:creationId xmlns:a16="http://schemas.microsoft.com/office/drawing/2014/main" id="{C7C72CC2-A757-4086-B789-1D1B23294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342900</xdr:colOff>
      <xdr:row>2</xdr:row>
      <xdr:rowOff>57150</xdr:rowOff>
    </xdr:from>
    <xdr:to>
      <xdr:col>1</xdr:col>
      <xdr:colOff>390525</xdr:colOff>
      <xdr:row>3</xdr:row>
      <xdr:rowOff>428065</xdr:rowOff>
    </xdr:to>
    <xdr:sp macro="" textlink="">
      <xdr:nvSpPr>
        <xdr:cNvPr id="4" name="Rogner un rectangle avec un coin diagonal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342900" y="504825"/>
          <a:ext cx="809625" cy="694765"/>
        </a:xfrm>
        <a:prstGeom prst="snip2DiagRect">
          <a:avLst>
            <a:gd name="adj1" fmla="val 0"/>
            <a:gd name="adj2" fmla="val 29167"/>
          </a:avLst>
        </a:prstGeom>
        <a:ln w="28575">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t" anchorCtr="0"/>
        <a:lstStyle/>
        <a:p>
          <a:pPr algn="l"/>
          <a:r>
            <a:rPr lang="fr-FR" sz="1200" b="1">
              <a:latin typeface="Arial" panose="020B0604020202020204" pitchFamily="34" charset="0"/>
              <a:cs typeface="Arial" panose="020B0604020202020204" pitchFamily="34" charset="0"/>
            </a:rPr>
            <a:t>Retour Accueil</a:t>
          </a:r>
        </a:p>
      </xdr:txBody>
    </xdr:sp>
    <xdr:clientData/>
  </xdr:twoCellAnchor>
  <xdr:twoCellAnchor>
    <xdr:from>
      <xdr:col>9</xdr:col>
      <xdr:colOff>619125</xdr:colOff>
      <xdr:row>20</xdr:row>
      <xdr:rowOff>161925</xdr:rowOff>
    </xdr:from>
    <xdr:to>
      <xdr:col>12</xdr:col>
      <xdr:colOff>129988</xdr:colOff>
      <xdr:row>24</xdr:row>
      <xdr:rowOff>134471</xdr:rowOff>
    </xdr:to>
    <xdr:sp macro="" textlink="">
      <xdr:nvSpPr>
        <xdr:cNvPr id="5" name="Pentagone 4">
          <a:hlinkClick xmlns:r="http://schemas.openxmlformats.org/officeDocument/2006/relationships" r:id="rId4"/>
          <a:extLst>
            <a:ext uri="{FF2B5EF4-FFF2-40B4-BE49-F238E27FC236}">
              <a16:creationId xmlns:a16="http://schemas.microsoft.com/office/drawing/2014/main" id="{00000000-0008-0000-1300-000005000000}"/>
            </a:ext>
          </a:extLst>
        </xdr:cNvPr>
        <xdr:cNvSpPr/>
      </xdr:nvSpPr>
      <xdr:spPr>
        <a:xfrm>
          <a:off x="8534400" y="5419725"/>
          <a:ext cx="2577913" cy="753596"/>
        </a:xfrm>
        <a:prstGeom prst="homePlate">
          <a:avLst>
            <a:gd name="adj" fmla="val 53931"/>
          </a:avLst>
        </a:prstGeom>
        <a:solidFill>
          <a:srgbClr val="002060"/>
        </a:solidFill>
        <a:ln>
          <a:noFill/>
        </a:ln>
        <a:effectLst>
          <a:outerShdw blurRad="50800" dist="38100" dir="2700000" algn="tl" rotWithShape="0">
            <a:prstClr val="black">
              <a:alpha val="40000"/>
            </a:prst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fr-FR" sz="1400" b="1"/>
            <a:t>Voir</a:t>
          </a:r>
          <a:r>
            <a:rPr lang="fr-FR" sz="1400" b="1" baseline="0"/>
            <a:t> la synthèse imprimable</a:t>
          </a:r>
          <a:endParaRPr lang="fr-FR" sz="14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25698</xdr:colOff>
      <xdr:row>49</xdr:row>
      <xdr:rowOff>2548</xdr:rowOff>
    </xdr:from>
    <xdr:to>
      <xdr:col>29</xdr:col>
      <xdr:colOff>179563</xdr:colOff>
      <xdr:row>56</xdr:row>
      <xdr:rowOff>472640</xdr:rowOff>
    </xdr:to>
    <xdr:graphicFrame macro="">
      <xdr:nvGraphicFramePr>
        <xdr:cNvPr id="20" name="Graphique 19">
          <a:extLst>
            <a:ext uri="{FF2B5EF4-FFF2-40B4-BE49-F238E27FC236}">
              <a16:creationId xmlns:a16="http://schemas.microsoft.com/office/drawing/2014/main" id="{5B28F4F0-A3BE-43E8-A4CB-44243CDB5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www.arcep.fr/uploads/tx_gspublication/etude-numerique-environnement-ademe-arcep-volet02_janv2022.pdf" TargetMode="External"/><Relationship Id="rId7" Type="http://schemas.openxmlformats.org/officeDocument/2006/relationships/hyperlink" Target="https://www.atelierdesvents.com/vente-occasion-neuf/Saxophone-Alto-Yamaha-YAS280-p150626788" TargetMode="External"/><Relationship Id="rId2" Type="http://schemas.openxmlformats.org/officeDocument/2006/relationships/hyperlink" Target="https://fr.statista.com/statistiques/487208/consommation-de-carburant-moyenne-vehicule-lourd-france/" TargetMode="External"/><Relationship Id="rId1" Type="http://schemas.openxmlformats.org/officeDocument/2006/relationships/hyperlink" Target="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20%22La%20consommation%20en%20hydrog&#232;ne%20d'un%20v&#233;hicule%20l&#233;ger%20varie%20de%200.8%20&#224;%201.2%20kg/100%20km%22" TargetMode="External"/><Relationship Id="rId6" Type="http://schemas.openxmlformats.org/officeDocument/2006/relationships/hyperlink" Target="https://iopscience.iop.org/article/10.1088/1748-9326/9/5/054007/pdf" TargetMode="External"/><Relationship Id="rId5" Type="http://schemas.openxmlformats.org/officeDocument/2006/relationships/hyperlink" Target="https://iopscience.iop.org/article/10.1088/1748-9326/9/5/054007/pdf" TargetMode="External"/><Relationship Id="rId4" Type="http://schemas.openxmlformats.org/officeDocument/2006/relationships/hyperlink" Target="https://iopscience.iop.org/article/10.1088/1748-9326/9/5/054007/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N55"/>
  <sheetViews>
    <sheetView showGridLines="0" topLeftCell="A19" zoomScale="110" zoomScaleNormal="110" workbookViewId="0">
      <selection activeCell="D4" sqref="D4"/>
    </sheetView>
  </sheetViews>
  <sheetFormatPr baseColWidth="10" defaultColWidth="0" defaultRowHeight="14.5" zeroHeight="1"/>
  <cols>
    <col min="1" max="1" width="9.1796875" customWidth="1"/>
    <col min="2" max="2" width="40.90625" customWidth="1"/>
    <col min="3" max="4" width="17.90625" customWidth="1"/>
    <col min="5" max="5" width="19.81640625" customWidth="1"/>
    <col min="6" max="6" width="16.54296875" customWidth="1"/>
    <col min="7" max="7" width="64" customWidth="1"/>
    <col min="8" max="14" width="0" hidden="1" customWidth="1"/>
    <col min="15" max="16384" width="9.1796875" hidden="1"/>
  </cols>
  <sheetData>
    <row r="1" spans="2:7" ht="51" customHeight="1" thickBot="1">
      <c r="B1" s="550" t="s">
        <v>0</v>
      </c>
      <c r="C1" s="551"/>
      <c r="D1" s="551"/>
      <c r="E1" s="551"/>
      <c r="F1" s="552"/>
      <c r="G1" s="99"/>
    </row>
    <row r="2" spans="2:7">
      <c r="B2" s="563" t="s">
        <v>1</v>
      </c>
      <c r="C2" s="564"/>
      <c r="D2" s="564"/>
      <c r="E2" s="564"/>
      <c r="F2" s="565"/>
    </row>
    <row r="3" spans="2:7">
      <c r="B3" s="563" t="s">
        <v>4076</v>
      </c>
      <c r="C3" s="564"/>
      <c r="D3" s="564"/>
      <c r="E3" s="564"/>
      <c r="F3" s="565"/>
    </row>
    <row r="4" spans="2:7">
      <c r="B4" s="103"/>
      <c r="F4" s="104"/>
    </row>
    <row r="5" spans="2:7" ht="47.25" customHeight="1">
      <c r="B5" s="559" t="s">
        <v>2</v>
      </c>
      <c r="C5" s="560"/>
      <c r="D5" s="560"/>
      <c r="E5" s="560"/>
      <c r="F5" s="561"/>
    </row>
    <row r="6" spans="2:7">
      <c r="B6" s="105" t="s">
        <v>3</v>
      </c>
      <c r="C6" s="101"/>
      <c r="D6" s="101"/>
      <c r="E6" s="101"/>
      <c r="F6" s="102"/>
    </row>
    <row r="7" spans="2:7" ht="42" customHeight="1">
      <c r="B7" s="562" t="s">
        <v>4051</v>
      </c>
      <c r="C7" s="560"/>
      <c r="D7" s="560"/>
      <c r="E7" s="560"/>
      <c r="F7" s="561"/>
    </row>
    <row r="8" spans="2:7">
      <c r="B8" s="106"/>
      <c r="C8" s="101"/>
      <c r="D8" s="101"/>
      <c r="E8" s="101"/>
      <c r="F8" s="102"/>
    </row>
    <row r="9" spans="2:7" ht="40.5" customHeight="1">
      <c r="B9" s="559" t="s">
        <v>4</v>
      </c>
      <c r="C9" s="560"/>
      <c r="D9" s="560"/>
      <c r="E9" s="560"/>
      <c r="F9" s="561"/>
    </row>
    <row r="10" spans="2:7">
      <c r="B10" s="107"/>
      <c r="C10" s="101"/>
      <c r="D10" s="101"/>
      <c r="E10" s="101"/>
      <c r="F10" s="102"/>
    </row>
    <row r="11" spans="2:7" ht="26.25" customHeight="1">
      <c r="B11" s="556" t="s">
        <v>3950</v>
      </c>
      <c r="C11" s="557"/>
      <c r="D11" s="557"/>
      <c r="E11" s="557"/>
      <c r="F11" s="558"/>
      <c r="G11" s="293"/>
    </row>
    <row r="12" spans="2:7">
      <c r="B12" s="107"/>
      <c r="C12" s="101"/>
      <c r="D12" s="101"/>
      <c r="E12" s="101"/>
      <c r="F12" s="102"/>
      <c r="G12" s="293"/>
    </row>
    <row r="13" spans="2:7" ht="26.25" customHeight="1">
      <c r="B13" s="553" t="s">
        <v>4052</v>
      </c>
      <c r="C13" s="554"/>
      <c r="D13" s="554"/>
      <c r="E13" s="554"/>
      <c r="F13" s="555"/>
    </row>
    <row r="14" spans="2:7">
      <c r="B14" s="107"/>
      <c r="C14" s="101"/>
      <c r="D14" s="101"/>
      <c r="E14" s="101"/>
      <c r="F14" s="102"/>
    </row>
    <row r="15" spans="2:7" ht="93" customHeight="1">
      <c r="B15" s="567" t="s">
        <v>3791</v>
      </c>
      <c r="C15" s="568"/>
      <c r="D15" s="568"/>
      <c r="E15" s="568"/>
      <c r="F15" s="569"/>
    </row>
    <row r="16" spans="2:7">
      <c r="B16" s="107"/>
      <c r="C16" s="101"/>
      <c r="D16" s="101"/>
      <c r="E16" s="101"/>
      <c r="F16" s="102"/>
    </row>
    <row r="17" spans="1:7" ht="32.4" customHeight="1">
      <c r="B17" s="567" t="s">
        <v>3792</v>
      </c>
      <c r="C17" s="568"/>
      <c r="D17" s="568"/>
      <c r="E17" s="568"/>
      <c r="F17" s="569"/>
    </row>
    <row r="18" spans="1:7">
      <c r="B18" s="107"/>
    </row>
    <row r="19" spans="1:7">
      <c r="B19" s="107"/>
      <c r="C19" s="101"/>
      <c r="D19" s="101"/>
      <c r="E19" s="101"/>
      <c r="F19" s="102"/>
    </row>
    <row r="20" spans="1:7">
      <c r="B20" s="107"/>
    </row>
    <row r="21" spans="1:7" ht="15" thickBot="1">
      <c r="B21" s="103"/>
      <c r="F21" s="104"/>
      <c r="G21" s="499"/>
    </row>
    <row r="22" spans="1:7" ht="18">
      <c r="B22" s="547" t="s">
        <v>4053</v>
      </c>
      <c r="C22" s="548"/>
      <c r="D22" s="548"/>
      <c r="E22" s="548"/>
      <c r="F22" s="549"/>
    </row>
    <row r="23" spans="1:7">
      <c r="B23" s="103"/>
      <c r="F23" s="104"/>
    </row>
    <row r="24" spans="1:7" ht="14.5" customHeight="1">
      <c r="A24" s="500"/>
      <c r="B24" s="566" t="s">
        <v>3704</v>
      </c>
      <c r="C24" s="566"/>
      <c r="D24" s="566"/>
      <c r="E24" s="566"/>
      <c r="F24" s="566"/>
      <c r="G24" s="497"/>
    </row>
    <row r="25" spans="1:7" ht="24">
      <c r="B25" s="145"/>
      <c r="E25" s="498" t="s">
        <v>3581</v>
      </c>
      <c r="F25" s="149"/>
    </row>
    <row r="26" spans="1:7" s="323" customFormat="1" ht="23.9" customHeight="1">
      <c r="B26" s="145"/>
      <c r="C26" s="326" t="s">
        <v>3386</v>
      </c>
      <c r="D26" s="327" t="s">
        <v>3359</v>
      </c>
      <c r="E26" s="328" t="s">
        <v>3357</v>
      </c>
      <c r="F26" s="149"/>
    </row>
    <row r="27" spans="1:7" ht="15.5">
      <c r="A27" s="319"/>
      <c r="B27" s="320" t="s">
        <v>3357</v>
      </c>
      <c r="C27" s="321" t="s">
        <v>3453</v>
      </c>
      <c r="D27" s="322" t="s">
        <v>3453</v>
      </c>
      <c r="E27" s="318"/>
      <c r="F27" s="149"/>
    </row>
    <row r="28" spans="1:7" ht="15.5">
      <c r="A28" s="319"/>
      <c r="B28" s="320" t="s">
        <v>3434</v>
      </c>
      <c r="C28" s="321" t="s">
        <v>3453</v>
      </c>
      <c r="D28" s="322" t="s">
        <v>3453</v>
      </c>
      <c r="E28" s="318"/>
      <c r="F28" s="149"/>
      <c r="G28" s="293"/>
    </row>
    <row r="29" spans="1:7" ht="15.5">
      <c r="A29" s="319"/>
      <c r="B29" s="320" t="s">
        <v>7</v>
      </c>
      <c r="C29" s="321" t="s">
        <v>3453</v>
      </c>
      <c r="D29" s="322" t="s">
        <v>3453</v>
      </c>
      <c r="E29" s="318"/>
      <c r="F29" s="149"/>
      <c r="G29" s="293"/>
    </row>
    <row r="30" spans="1:7" ht="15.5">
      <c r="A30" s="319"/>
      <c r="B30" s="320" t="s">
        <v>3427</v>
      </c>
      <c r="C30" s="321" t="s">
        <v>3453</v>
      </c>
      <c r="D30" s="322" t="s">
        <v>3453</v>
      </c>
      <c r="E30" s="318"/>
      <c r="F30" s="149"/>
    </row>
    <row r="31" spans="1:7" ht="15.5">
      <c r="A31" s="319"/>
      <c r="B31" s="320" t="s">
        <v>10</v>
      </c>
      <c r="C31" s="318"/>
      <c r="D31" s="322" t="s">
        <v>3453</v>
      </c>
      <c r="E31" s="318"/>
      <c r="F31" s="149"/>
    </row>
    <row r="32" spans="1:7" ht="15.5">
      <c r="A32" s="319"/>
      <c r="B32" s="320" t="s">
        <v>3645</v>
      </c>
      <c r="C32" s="318"/>
      <c r="D32" s="322" t="s">
        <v>3453</v>
      </c>
      <c r="E32" s="318"/>
      <c r="F32" s="149"/>
    </row>
    <row r="33" spans="1:7" ht="15.5">
      <c r="A33" s="319"/>
      <c r="B33" s="320" t="s">
        <v>3431</v>
      </c>
      <c r="C33" s="321" t="s">
        <v>3453</v>
      </c>
      <c r="D33" s="322" t="s">
        <v>3453</v>
      </c>
      <c r="E33" s="318"/>
      <c r="F33" s="149"/>
    </row>
    <row r="34" spans="1:7" ht="15.5">
      <c r="A34" s="319"/>
      <c r="B34" s="320" t="s">
        <v>4050</v>
      </c>
      <c r="C34" s="528"/>
      <c r="D34" s="322" t="s">
        <v>3453</v>
      </c>
      <c r="E34" s="318"/>
      <c r="F34" s="149"/>
    </row>
    <row r="35" spans="1:7" ht="15.5">
      <c r="A35" s="319"/>
      <c r="B35" s="320" t="s">
        <v>6</v>
      </c>
      <c r="C35" s="321" t="s">
        <v>3453</v>
      </c>
      <c r="D35" s="322" t="s">
        <v>3453</v>
      </c>
      <c r="E35" s="318"/>
      <c r="F35" s="149"/>
      <c r="G35" s="545"/>
    </row>
    <row r="36" spans="1:7" ht="15.5">
      <c r="A36" s="319"/>
      <c r="B36" s="320" t="s">
        <v>12</v>
      </c>
      <c r="C36" s="318"/>
      <c r="D36" s="322" t="s">
        <v>3453</v>
      </c>
      <c r="E36" s="318"/>
      <c r="F36" s="149"/>
      <c r="G36" s="546"/>
    </row>
    <row r="37" spans="1:7" ht="15.5">
      <c r="A37" s="319"/>
      <c r="B37" s="320" t="s">
        <v>14</v>
      </c>
      <c r="C37" s="318"/>
      <c r="D37" s="322" t="s">
        <v>3453</v>
      </c>
      <c r="E37" s="318"/>
      <c r="F37" s="149"/>
      <c r="G37" s="546"/>
    </row>
    <row r="38" spans="1:7" ht="15.5">
      <c r="A38" s="319"/>
      <c r="B38" s="320" t="s">
        <v>3426</v>
      </c>
      <c r="C38" s="321" t="s">
        <v>3453</v>
      </c>
      <c r="D38" s="322" t="s">
        <v>3453</v>
      </c>
      <c r="E38" s="318"/>
      <c r="F38" s="149"/>
      <c r="G38" s="546"/>
    </row>
    <row r="39" spans="1:7" ht="15.5">
      <c r="A39" s="319"/>
      <c r="B39" s="320" t="s">
        <v>3918</v>
      </c>
      <c r="C39" s="318"/>
      <c r="D39" s="322" t="s">
        <v>3453</v>
      </c>
      <c r="E39" s="318"/>
      <c r="F39" s="149"/>
      <c r="G39" s="546"/>
    </row>
    <row r="40" spans="1:7" ht="15.5">
      <c r="A40" s="319"/>
      <c r="B40" s="320" t="s">
        <v>3436</v>
      </c>
      <c r="C40" s="318"/>
      <c r="D40" s="322" t="s">
        <v>3453</v>
      </c>
      <c r="E40" s="318"/>
      <c r="F40" s="149"/>
    </row>
    <row r="41" spans="1:7" ht="15.5">
      <c r="A41" s="319"/>
      <c r="B41" s="320" t="s">
        <v>3378</v>
      </c>
      <c r="C41" s="318"/>
      <c r="D41" s="322" t="s">
        <v>3453</v>
      </c>
      <c r="E41" s="318"/>
      <c r="F41" s="149"/>
    </row>
    <row r="42" spans="1:7" ht="15.5">
      <c r="A42" s="319"/>
      <c r="B42" s="320" t="s">
        <v>3430</v>
      </c>
      <c r="C42" s="321" t="s">
        <v>3453</v>
      </c>
      <c r="D42" s="322" t="s">
        <v>3453</v>
      </c>
      <c r="E42" s="318"/>
      <c r="F42" s="149"/>
    </row>
    <row r="43" spans="1:7" ht="15.5">
      <c r="A43" s="319"/>
      <c r="B43" s="320" t="s">
        <v>3433</v>
      </c>
      <c r="C43" s="318"/>
      <c r="D43" s="322" t="s">
        <v>3453</v>
      </c>
      <c r="E43" s="318"/>
      <c r="F43" s="149"/>
    </row>
    <row r="44" spans="1:7" ht="15.5">
      <c r="A44" s="319"/>
      <c r="B44" s="320" t="s">
        <v>3428</v>
      </c>
      <c r="C44" s="318"/>
      <c r="D44" s="322" t="s">
        <v>3453</v>
      </c>
      <c r="E44" s="318"/>
      <c r="F44" s="149"/>
    </row>
    <row r="45" spans="1:7" ht="15.5">
      <c r="A45" s="319"/>
      <c r="B45" s="320" t="s">
        <v>11</v>
      </c>
      <c r="C45" s="318"/>
      <c r="D45" s="322" t="s">
        <v>3453</v>
      </c>
      <c r="E45" s="318"/>
      <c r="F45" s="149"/>
    </row>
    <row r="46" spans="1:7" ht="15.5">
      <c r="A46" s="319"/>
      <c r="B46" s="320" t="s">
        <v>13</v>
      </c>
      <c r="C46" s="318"/>
      <c r="D46" s="322" t="s">
        <v>3453</v>
      </c>
      <c r="E46" s="318"/>
      <c r="F46" s="149"/>
    </row>
    <row r="47" spans="1:7" ht="15" thickBot="1">
      <c r="B47" s="150"/>
      <c r="C47" s="151"/>
      <c r="D47" s="151"/>
      <c r="E47" s="151"/>
      <c r="F47" s="152"/>
    </row>
    <row r="48" spans="1:7"/>
    <row r="49"/>
    <row r="50"/>
    <row r="51"/>
    <row r="52"/>
    <row r="53"/>
    <row r="54"/>
    <row r="55"/>
  </sheetData>
  <mergeCells count="13">
    <mergeCell ref="G35:G39"/>
    <mergeCell ref="B22:F22"/>
    <mergeCell ref="B1:F1"/>
    <mergeCell ref="B13:F13"/>
    <mergeCell ref="B11:F11"/>
    <mergeCell ref="B9:F9"/>
    <mergeCell ref="B7:F7"/>
    <mergeCell ref="B5:F5"/>
    <mergeCell ref="B2:F2"/>
    <mergeCell ref="B3:F3"/>
    <mergeCell ref="B24:F24"/>
    <mergeCell ref="B15:F15"/>
    <mergeCell ref="B17:F17"/>
  </mergeCells>
  <conditionalFormatting sqref="E27:E46">
    <cfRule type="containsText" dxfId="3" priority="1" operator="containsText" text="X">
      <formula>NOT(ISERROR(SEARCH("X",E27)))</formula>
    </cfRule>
  </conditionalFormatting>
  <dataValidations disablePrompts="1" count="2">
    <dataValidation type="list" allowBlank="1" showInputMessage="1" showErrorMessage="1" sqref="E27 E29:E46" xr:uid="{775E11E4-B68D-4C63-BDE3-6F5C302E11D4}">
      <formula1>",X"</formula1>
    </dataValidation>
    <dataValidation type="list" allowBlank="1" showInputMessage="1" showErrorMessage="1" sqref="E28" xr:uid="{33D2B1A6-27FA-4FE6-95FA-FFC9E5D29C02}">
      <formula1>" ,X"</formula1>
    </dataValidation>
  </dataValidations>
  <hyperlinks>
    <hyperlink ref="B27" location="'1_Votre Structure'!A1" display="Votre structure" xr:uid="{AB3E44E1-4369-482F-88F4-54133E824589}"/>
    <hyperlink ref="B28" location="'2_ConsoEnergieEau'!A1" display="Consommation d'énergie et d'eau" xr:uid="{79D58EAE-3485-41C5-B4A6-B3921F64A5A0}"/>
    <hyperlink ref="B29" location="'3_Climatisation'!A1" display="Climatisation" xr:uid="{9C777826-A0CC-4F12-B713-28B5C5D0A02E}"/>
    <hyperlink ref="B32" location="'6_DéplacementsPrestations'!A1" display="Déplacements de prestations" xr:uid="{191085BF-268B-4839-9D7C-A1E53F879D5D}"/>
    <hyperlink ref="B33" location="'7_DéplacementsProfessionnels'!A1" display="Déplacements professionnels" xr:uid="{A3CCCC26-282A-4467-AD0E-86E0CCA1CDB3}"/>
    <hyperlink ref="B38" location="'12_Equipements'!A1" display="Equipements" xr:uid="{322C6C09-F6BB-481A-A102-274E55016919}"/>
    <hyperlink ref="B31" location="'5_Déchets'!A1" display="Déchets" xr:uid="{D20281B4-EF0E-4D35-9E43-353B1DA75255}"/>
    <hyperlink ref="B43" location="'17_TransportMatériel'!A1" display="Transport de matériel et d'œuvres" xr:uid="{D53A79D0-A1A5-41EF-84A6-656DB52104F1}"/>
    <hyperlink ref="B44" location="'18_ImpressionsComPapier'!A1" display="Impression et communication papier" xr:uid="{3E94F3D0-BAAF-46F8-B7FF-A369B32A2B35}"/>
    <hyperlink ref="B45" location="'19_ComDigitale'!A1" display="Communication digitale" xr:uid="{2B275506-379D-4C3E-AE6D-5E0667889FD2}"/>
    <hyperlink ref="B46" location="'20_Billetterie'!A1" display="Billetterie" xr:uid="{FF5F1CE7-2583-4D98-8846-53CDE3E3A66E}"/>
    <hyperlink ref="B41" location="'15_Alimentation'!A1" display="Alimentation" xr:uid="{75D96389-1A63-483F-B2C7-94BFF5A0B23D}"/>
    <hyperlink ref="B35" location="'9_DéplacementsVisiteurs'!A1" display="Déplacements des visiteurs" xr:uid="{09C4A6D3-B48D-4A02-B8EF-5F8B3A9B1A2D}"/>
    <hyperlink ref="B36" location="'10_Tournées artistiques'!A1" display="Tournées artistiques" xr:uid="{22EE1A43-318A-4F6D-8DBD-633F96333DB2}"/>
    <hyperlink ref="B37" location="'11_Artistes invité.e.s'!A1" display="Artistes invité.e.s" xr:uid="{69B65C33-FC01-4BB4-A2FD-46D90EFD7971}"/>
    <hyperlink ref="B30" location="'4_Bâtiments,travaux, agcmt'!A1" display="Bâtiments, travaux et agencements" xr:uid="{B9C2025E-37E5-479C-AC01-303E2923BDA9}"/>
    <hyperlink ref="B39" location="'13_Achats - Documents papiers'!A1" display="Achats - Documents papiers" xr:uid="{839E9861-10CC-44CE-9B7D-C3CA9098BC0C}"/>
    <hyperlink ref="B42" location="'16_Autres achats (€)'!A1" display="Autres achats" xr:uid="{D2066235-E24D-450F-82DB-76373C984895}"/>
    <hyperlink ref="B40" location="'14_Décors'!A1" display="Décors" xr:uid="{E30F66C8-3F76-4E9F-A6B2-089DF5CD7C7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N18"/>
  <sheetViews>
    <sheetView showGridLines="0" zoomScale="83" zoomScaleNormal="70" workbookViewId="0">
      <selection activeCell="C10" sqref="C10:J10"/>
    </sheetView>
  </sheetViews>
  <sheetFormatPr baseColWidth="10" defaultColWidth="0" defaultRowHeight="14.5" zeroHeight="1"/>
  <cols>
    <col min="1" max="2" width="11.1796875" customWidth="1"/>
    <col min="3" max="10" width="14.08984375" customWidth="1"/>
    <col min="11" max="11" width="6.453125" customWidth="1"/>
    <col min="12" max="12" width="21.6328125" customWidth="1"/>
    <col min="13" max="13" width="11.1796875" customWidth="1"/>
    <col min="14" max="14" width="55.453125" customWidth="1"/>
    <col min="15" max="16384" width="11.1796875" hidden="1"/>
  </cols>
  <sheetData>
    <row r="1" spans="2:13" ht="21" customHeight="1" thickBot="1">
      <c r="B1" s="571" t="s">
        <v>3387</v>
      </c>
      <c r="C1" s="572"/>
      <c r="D1" s="572"/>
      <c r="E1" s="572"/>
      <c r="F1" s="572"/>
      <c r="G1" s="572"/>
      <c r="H1" s="572"/>
      <c r="I1" s="572"/>
      <c r="J1" s="572"/>
      <c r="K1" s="572"/>
      <c r="L1" s="572"/>
      <c r="M1" s="573"/>
    </row>
    <row r="2" spans="2:13">
      <c r="B2" s="249"/>
      <c r="C2" s="109"/>
      <c r="D2" s="109"/>
      <c r="E2" s="109"/>
      <c r="F2" s="109"/>
      <c r="G2" s="109"/>
      <c r="H2" s="109"/>
      <c r="I2" s="109"/>
      <c r="J2" s="109"/>
      <c r="M2" s="250"/>
    </row>
    <row r="3" spans="2:13" ht="88.65" customHeight="1" thickBot="1">
      <c r="B3" s="251"/>
      <c r="C3" s="568" t="s">
        <v>3942</v>
      </c>
      <c r="D3" s="578"/>
      <c r="E3" s="578"/>
      <c r="F3" s="578"/>
      <c r="G3" s="578"/>
      <c r="H3" s="578"/>
      <c r="I3" s="578"/>
      <c r="J3" s="578"/>
      <c r="M3" s="252"/>
    </row>
    <row r="4" spans="2:13" ht="28.5" customHeight="1">
      <c r="B4" s="251"/>
      <c r="C4" s="583" t="s">
        <v>3388</v>
      </c>
      <c r="D4" s="583"/>
      <c r="E4" s="583"/>
      <c r="F4" s="583"/>
      <c r="G4" s="583"/>
      <c r="H4" s="583"/>
      <c r="I4" s="583"/>
      <c r="J4" s="583"/>
      <c r="L4" s="574" t="s">
        <v>3392</v>
      </c>
      <c r="M4" s="575"/>
    </row>
    <row r="5" spans="2:13" ht="168.65" customHeight="1">
      <c r="B5" s="251"/>
      <c r="C5" s="580" t="s">
        <v>4054</v>
      </c>
      <c r="D5" s="581"/>
      <c r="E5" s="581"/>
      <c r="F5" s="581"/>
      <c r="G5" s="581"/>
      <c r="H5" s="581"/>
      <c r="I5" s="581"/>
      <c r="J5" s="581"/>
      <c r="L5" s="576"/>
      <c r="M5" s="577"/>
    </row>
    <row r="6" spans="2:13" ht="15" customHeight="1">
      <c r="B6" s="251"/>
      <c r="C6" s="582" t="s">
        <v>3389</v>
      </c>
      <c r="D6" s="582"/>
      <c r="E6" s="582"/>
      <c r="F6" s="582"/>
      <c r="G6" s="582"/>
      <c r="H6" s="582"/>
      <c r="I6" s="582"/>
      <c r="J6" s="582"/>
      <c r="L6" s="247"/>
      <c r="M6" s="252"/>
    </row>
    <row r="7" spans="2:13" ht="409.25" customHeight="1" thickBot="1">
      <c r="B7" s="251"/>
      <c r="C7" s="580" t="s">
        <v>4055</v>
      </c>
      <c r="D7" s="581"/>
      <c r="E7" s="581"/>
      <c r="F7" s="581"/>
      <c r="G7" s="581"/>
      <c r="H7" s="581"/>
      <c r="I7" s="581"/>
      <c r="J7" s="581"/>
      <c r="L7" s="248"/>
      <c r="M7" s="253"/>
    </row>
    <row r="8" spans="2:13" ht="11" customHeight="1">
      <c r="B8" s="251"/>
      <c r="C8" s="584" t="s">
        <v>4066</v>
      </c>
      <c r="D8" s="584"/>
      <c r="E8" s="584"/>
      <c r="F8" s="584"/>
      <c r="G8" s="584"/>
      <c r="H8" s="584"/>
      <c r="I8" s="584"/>
      <c r="J8" s="584"/>
      <c r="M8" s="252"/>
    </row>
    <row r="9" spans="2:13" ht="11" customHeight="1">
      <c r="B9" s="251"/>
      <c r="C9" s="531"/>
      <c r="D9" s="163"/>
      <c r="E9" s="118"/>
      <c r="F9" s="234">
        <f>IFERROR(VLOOKUP(E9,'BDD FE Alim'!$A$2:$N$60,2,0),0)</f>
        <v>0</v>
      </c>
      <c r="G9" s="123">
        <f>IFERROR(IF(OR(E9="Mix sandwichs carnés",E9="Mix sandwichs végés"), (0.3*IF(#REF!="Oui",(VLOOKUP(E9,'BDD FE Alim'!$A$3:$M$60,12,FALSE)*D9-IF(#REF!="Non",VLOOKUP(E9,'BDD FE Alim'!$A$3:$M$60,7,FALSE))*D9)*10^-3,(VLOOKUP(E9,'BDD FE Alim'!$A$3:$M$60,11,FALSE)*D9-IF(#REF!="Non",VLOOKUP(E9,'BDD FE Alim'!$A$3:$M$60,7,FALSE)*D9))*10^-3)),IF(#REF!="Oui",(VLOOKUP(E9,'BDD FE Alim'!$A$3:$M$60,12,FALSE)*D9-IF(#REF!="Non",VLOOKUP(E9,'BDD FE Alim'!$A$3:$M$60,7,FALSE))*D9)*10^-3,(VLOOKUP(E9,'BDD FE Alim'!$A$3:$M$60,11,FALSE)*D9-IF(#REF!="Non",VLOOKUP(E9,'BDD FE Alim'!$A$3:$M$60,7,FALSE)*D9))*10^-3)),0)</f>
        <v>0</v>
      </c>
      <c r="H9" s="530"/>
      <c r="I9" s="530"/>
      <c r="J9" s="530"/>
      <c r="M9" s="252"/>
    </row>
    <row r="10" spans="2:13" ht="119.4" customHeight="1">
      <c r="B10" s="251"/>
      <c r="C10" s="585" t="s">
        <v>4067</v>
      </c>
      <c r="D10" s="586"/>
      <c r="E10" s="586"/>
      <c r="F10" s="586"/>
      <c r="G10" s="586"/>
      <c r="H10" s="586"/>
      <c r="I10" s="586"/>
      <c r="J10" s="586"/>
      <c r="M10" s="252"/>
    </row>
    <row r="11" spans="2:13" ht="30" customHeight="1">
      <c r="B11" s="251"/>
      <c r="C11" s="579" t="s">
        <v>3390</v>
      </c>
      <c r="D11" s="579"/>
      <c r="E11" s="579"/>
      <c r="F11" s="579"/>
      <c r="G11" s="579"/>
      <c r="H11" s="579"/>
      <c r="I11" s="579"/>
      <c r="J11" s="579"/>
      <c r="M11" s="252"/>
    </row>
    <row r="12" spans="2:13" ht="90.65" customHeight="1">
      <c r="B12" s="254"/>
      <c r="C12" s="570" t="s">
        <v>3943</v>
      </c>
      <c r="D12" s="570"/>
      <c r="E12" s="570"/>
      <c r="F12" s="570"/>
      <c r="G12" s="570"/>
      <c r="H12" s="570"/>
      <c r="I12" s="570"/>
      <c r="J12" s="570"/>
      <c r="M12" s="255"/>
    </row>
    <row r="13" spans="2:13">
      <c r="B13" s="254"/>
      <c r="C13" s="112"/>
      <c r="D13" s="112"/>
      <c r="E13" s="112"/>
      <c r="F13" s="112"/>
      <c r="G13" s="112"/>
      <c r="H13" s="112"/>
      <c r="I13" s="112"/>
      <c r="J13" s="112"/>
      <c r="M13" s="255"/>
    </row>
    <row r="14" spans="2:13">
      <c r="B14" s="254"/>
      <c r="C14" s="112"/>
      <c r="D14" s="112"/>
      <c r="E14" s="112"/>
      <c r="F14" s="112"/>
      <c r="G14" s="112"/>
      <c r="H14" s="112"/>
      <c r="I14" s="112"/>
      <c r="J14" s="112"/>
      <c r="M14" s="255"/>
    </row>
    <row r="15" spans="2:13" ht="15" thickBot="1">
      <c r="B15" s="256"/>
      <c r="C15" s="143"/>
      <c r="D15" s="143"/>
      <c r="E15" s="143"/>
      <c r="F15" s="143"/>
      <c r="G15" s="143"/>
      <c r="H15" s="143"/>
      <c r="I15" s="143"/>
      <c r="J15" s="143"/>
      <c r="K15" s="143"/>
      <c r="L15" s="143"/>
      <c r="M15" s="257"/>
    </row>
    <row r="16" spans="2:13"/>
    <row r="17"/>
    <row r="18"/>
  </sheetData>
  <protectedRanges>
    <protectedRange sqref="D9:E9" name="Plage1"/>
  </protectedRanges>
  <mergeCells count="11">
    <mergeCell ref="C12:J12"/>
    <mergeCell ref="B1:M1"/>
    <mergeCell ref="L4:M5"/>
    <mergeCell ref="C3:J3"/>
    <mergeCell ref="C11:J11"/>
    <mergeCell ref="C7:J7"/>
    <mergeCell ref="C6:J6"/>
    <mergeCell ref="C5:J5"/>
    <mergeCell ref="C4:J4"/>
    <mergeCell ref="C8:J8"/>
    <mergeCell ref="C10:J10"/>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B960B3-E5FF-47A1-9DE7-3E5869FA3E6B}">
          <x14:formula1>
            <xm:f>'BDD FE Alim'!$A$3:$A$60</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O43"/>
  <sheetViews>
    <sheetView showGridLines="0" tabSelected="1" zoomScale="72" zoomScaleNormal="130" workbookViewId="0">
      <selection activeCell="C6" sqref="C6:D6"/>
    </sheetView>
  </sheetViews>
  <sheetFormatPr baseColWidth="10" defaultColWidth="0" defaultRowHeight="14.5" zeroHeight="1"/>
  <cols>
    <col min="1" max="1" width="25.81640625" bestFit="1" customWidth="1"/>
    <col min="2" max="2" width="11.1796875" customWidth="1"/>
    <col min="3" max="3" width="11.453125" style="108" customWidth="1"/>
    <col min="4" max="4" width="39.1796875" style="108" customWidth="1"/>
    <col min="5" max="5" width="27.81640625" style="108" customWidth="1"/>
    <col min="6" max="6" width="17.453125" style="108" customWidth="1"/>
    <col min="7" max="10" width="11.453125" style="108" customWidth="1"/>
    <col min="11" max="11" width="11.453125" customWidth="1"/>
    <col min="12" max="12" width="11.453125" style="112"/>
    <col min="13" max="14" width="11.1796875"/>
    <col min="15" max="15" width="43.453125" customWidth="1"/>
    <col min="16" max="16384" width="11.1796875" hidden="1"/>
  </cols>
  <sheetData>
    <row r="1" spans="1:15" ht="21.25" customHeight="1" thickBot="1">
      <c r="A1" s="532" t="s">
        <v>4039</v>
      </c>
      <c r="B1" s="589" t="s">
        <v>3350</v>
      </c>
      <c r="C1" s="590"/>
      <c r="D1" s="590"/>
      <c r="E1" s="590"/>
      <c r="F1" s="590"/>
      <c r="G1" s="590"/>
      <c r="H1" s="590"/>
      <c r="I1" s="590"/>
      <c r="J1" s="590"/>
      <c r="K1" s="590"/>
      <c r="L1" s="598" t="s">
        <v>3391</v>
      </c>
      <c r="M1" s="599"/>
      <c r="N1" s="600"/>
    </row>
    <row r="2" spans="1:15">
      <c r="A2" s="342" t="s">
        <v>3359</v>
      </c>
      <c r="B2" s="243"/>
      <c r="C2" s="109"/>
      <c r="D2" s="109"/>
      <c r="E2" s="109"/>
      <c r="F2" s="109"/>
      <c r="G2" s="109"/>
      <c r="H2" s="109"/>
      <c r="I2" s="109"/>
      <c r="J2" s="109"/>
      <c r="K2" s="243"/>
      <c r="L2" s="610" t="s">
        <v>3457</v>
      </c>
      <c r="M2" s="611"/>
      <c r="N2" s="612"/>
      <c r="O2" s="293"/>
    </row>
    <row r="3" spans="1:15">
      <c r="A3" s="338"/>
      <c r="B3" s="244"/>
      <c r="C3" s="587" t="s">
        <v>3351</v>
      </c>
      <c r="D3" s="588"/>
      <c r="E3" s="114"/>
      <c r="F3" s="111"/>
      <c r="G3" s="111"/>
      <c r="H3" s="111"/>
      <c r="I3" s="111"/>
      <c r="J3" s="111"/>
      <c r="K3" s="244"/>
      <c r="L3" s="331"/>
      <c r="M3" s="332"/>
      <c r="N3" s="333"/>
    </row>
    <row r="4" spans="1:15">
      <c r="A4" s="338"/>
      <c r="B4" s="244"/>
      <c r="C4" s="587" t="s">
        <v>3592</v>
      </c>
      <c r="D4" s="588"/>
      <c r="E4" s="114"/>
      <c r="F4" s="111"/>
      <c r="G4" s="111"/>
      <c r="H4" s="111"/>
      <c r="I4" s="111"/>
      <c r="J4" s="111"/>
      <c r="K4" s="244"/>
      <c r="L4" s="331"/>
      <c r="M4" s="332"/>
      <c r="N4" s="333"/>
    </row>
    <row r="5" spans="1:15">
      <c r="A5" s="338"/>
      <c r="B5" s="244"/>
      <c r="C5" s="587" t="s">
        <v>3585</v>
      </c>
      <c r="D5" s="588"/>
      <c r="E5" s="164"/>
      <c r="F5" s="115" t="s">
        <v>3743</v>
      </c>
      <c r="G5" s="111"/>
      <c r="H5" s="111"/>
      <c r="J5" s="111"/>
      <c r="K5" s="244"/>
      <c r="L5" s="331"/>
      <c r="M5" s="332"/>
      <c r="N5" s="333"/>
    </row>
    <row r="6" spans="1:15">
      <c r="A6" s="341" t="s">
        <v>3357</v>
      </c>
      <c r="B6" s="244"/>
      <c r="C6" s="587" t="s">
        <v>17</v>
      </c>
      <c r="D6" s="588"/>
      <c r="E6" s="164"/>
      <c r="F6" s="115" t="s">
        <v>3743</v>
      </c>
      <c r="G6" s="111"/>
      <c r="H6" s="111"/>
      <c r="J6" s="111"/>
      <c r="K6" s="244"/>
      <c r="L6" s="331"/>
      <c r="M6" s="332"/>
      <c r="N6" s="333"/>
    </row>
    <row r="7" spans="1:15">
      <c r="A7" s="339" t="s">
        <v>3434</v>
      </c>
      <c r="B7" s="244"/>
      <c r="C7" s="110"/>
      <c r="D7" s="110"/>
      <c r="E7" s="111"/>
      <c r="F7" s="111"/>
      <c r="G7" s="111"/>
      <c r="H7" s="111"/>
      <c r="I7" s="111"/>
      <c r="J7" s="111"/>
      <c r="K7" s="244"/>
      <c r="L7" s="610" t="s">
        <v>3458</v>
      </c>
      <c r="M7" s="611"/>
      <c r="N7" s="612"/>
    </row>
    <row r="8" spans="1:15">
      <c r="A8" s="339" t="s">
        <v>7</v>
      </c>
      <c r="B8" s="244"/>
      <c r="C8" s="587" t="s">
        <v>3587</v>
      </c>
      <c r="D8" s="588"/>
      <c r="E8" s="114"/>
      <c r="F8" s="116" t="s">
        <v>3586</v>
      </c>
      <c r="G8" s="111"/>
      <c r="H8" s="111"/>
      <c r="I8" s="111"/>
      <c r="J8" s="111"/>
      <c r="K8" s="244"/>
      <c r="L8" s="331"/>
      <c r="M8" s="332"/>
      <c r="N8" s="333"/>
    </row>
    <row r="9" spans="1:15">
      <c r="A9" s="339" t="s">
        <v>3427</v>
      </c>
      <c r="B9" s="244"/>
      <c r="C9" s="587" t="s">
        <v>18</v>
      </c>
      <c r="D9" s="588"/>
      <c r="E9" s="114"/>
      <c r="F9" s="111"/>
      <c r="G9" s="111"/>
      <c r="H9" s="111"/>
      <c r="I9" s="111"/>
      <c r="J9" s="111"/>
      <c r="K9" s="244"/>
      <c r="L9" s="331"/>
      <c r="M9" s="332"/>
      <c r="N9" s="333"/>
    </row>
    <row r="10" spans="1:15">
      <c r="A10" s="340" t="s">
        <v>10</v>
      </c>
      <c r="B10" s="244"/>
      <c r="C10" s="110"/>
      <c r="D10" s="110"/>
      <c r="E10" s="111"/>
      <c r="F10" s="111"/>
      <c r="G10" s="111"/>
      <c r="H10" s="111"/>
      <c r="I10" s="111"/>
      <c r="J10" s="111"/>
      <c r="K10" s="244"/>
      <c r="L10" s="331"/>
      <c r="M10" s="332"/>
      <c r="N10" s="333"/>
    </row>
    <row r="11" spans="1:15">
      <c r="A11" s="340" t="s">
        <v>3645</v>
      </c>
      <c r="B11" s="244"/>
      <c r="C11" s="591" t="s">
        <v>3352</v>
      </c>
      <c r="D11" s="591"/>
      <c r="E11" s="114"/>
      <c r="F11" s="117" t="s">
        <v>19</v>
      </c>
      <c r="G11" s="111"/>
      <c r="H11" s="111"/>
      <c r="I11" s="111"/>
      <c r="J11" s="111"/>
      <c r="K11" s="244"/>
      <c r="L11" s="331"/>
      <c r="M11" s="332"/>
      <c r="N11" s="333"/>
    </row>
    <row r="12" spans="1:15">
      <c r="A12" s="339" t="s">
        <v>3431</v>
      </c>
      <c r="B12" s="244"/>
      <c r="C12" s="110"/>
      <c r="D12" s="110"/>
      <c r="E12" s="111"/>
      <c r="F12" s="111"/>
      <c r="G12" s="111"/>
      <c r="H12" s="111"/>
      <c r="I12" s="111"/>
      <c r="J12" s="111"/>
      <c r="K12" s="244"/>
      <c r="L12" s="331"/>
      <c r="M12" s="332"/>
      <c r="N12" s="333"/>
    </row>
    <row r="13" spans="1:15" ht="25">
      <c r="A13" s="340" t="s">
        <v>5</v>
      </c>
      <c r="B13" s="244"/>
      <c r="C13" s="587" t="s">
        <v>20</v>
      </c>
      <c r="D13" s="588"/>
      <c r="E13" s="114"/>
      <c r="F13" s="397" t="s">
        <v>3672</v>
      </c>
      <c r="G13" s="111"/>
      <c r="H13" s="111"/>
      <c r="I13" s="111"/>
      <c r="J13" s="111"/>
      <c r="K13" s="244"/>
      <c r="L13" s="334"/>
      <c r="M13" s="335"/>
      <c r="N13" s="336"/>
    </row>
    <row r="14" spans="1:15">
      <c r="A14" s="339" t="s">
        <v>6</v>
      </c>
      <c r="B14" s="244"/>
      <c r="C14" s="110"/>
      <c r="D14" s="110"/>
      <c r="E14" s="111"/>
      <c r="F14" s="111"/>
      <c r="G14" s="111"/>
      <c r="H14" s="111"/>
      <c r="I14" s="111"/>
      <c r="J14" s="111"/>
      <c r="K14" s="244"/>
      <c r="L14" s="613" t="s">
        <v>3459</v>
      </c>
      <c r="M14" s="614"/>
      <c r="N14" s="615"/>
    </row>
    <row r="15" spans="1:15" ht="26.4" customHeight="1">
      <c r="A15" s="340" t="s">
        <v>12</v>
      </c>
      <c r="B15" s="244"/>
      <c r="C15" s="587" t="s">
        <v>3588</v>
      </c>
      <c r="D15" s="588"/>
      <c r="E15" s="119"/>
      <c r="F15" s="117" t="s">
        <v>21</v>
      </c>
      <c r="G15" s="111"/>
      <c r="H15" s="111"/>
      <c r="I15" s="111"/>
      <c r="J15" s="111"/>
      <c r="K15" s="244"/>
      <c r="L15" s="616"/>
      <c r="M15" s="617"/>
      <c r="N15" s="618"/>
    </row>
    <row r="16" spans="1:15">
      <c r="A16" s="340" t="s">
        <v>14</v>
      </c>
      <c r="B16" s="244"/>
      <c r="C16" s="110"/>
      <c r="D16" s="110"/>
      <c r="E16" s="111"/>
      <c r="F16" s="111"/>
      <c r="G16" s="111"/>
      <c r="H16" s="111"/>
      <c r="I16" s="111"/>
      <c r="J16" s="111"/>
      <c r="K16" s="244"/>
      <c r="L16" s="616"/>
      <c r="M16" s="617"/>
      <c r="N16" s="618"/>
    </row>
    <row r="17" spans="1:14">
      <c r="A17" s="339" t="s">
        <v>3426</v>
      </c>
      <c r="B17" s="244"/>
      <c r="C17" s="592" t="s">
        <v>22</v>
      </c>
      <c r="D17" s="593"/>
      <c r="E17" s="601"/>
      <c r="F17" s="602"/>
      <c r="G17" s="602"/>
      <c r="H17" s="602"/>
      <c r="I17" s="602"/>
      <c r="J17" s="603"/>
      <c r="K17" s="244"/>
      <c r="L17" s="616"/>
      <c r="M17" s="617"/>
      <c r="N17" s="618"/>
    </row>
    <row r="18" spans="1:14">
      <c r="A18" s="340" t="s">
        <v>3918</v>
      </c>
      <c r="B18" s="244"/>
      <c r="C18" s="594"/>
      <c r="D18" s="595"/>
      <c r="E18" s="604"/>
      <c r="F18" s="605"/>
      <c r="G18" s="605"/>
      <c r="H18" s="605"/>
      <c r="I18" s="605"/>
      <c r="J18" s="606"/>
      <c r="K18" s="244"/>
      <c r="L18" s="616"/>
      <c r="M18" s="617"/>
      <c r="N18" s="618"/>
    </row>
    <row r="19" spans="1:14">
      <c r="A19" s="340" t="s">
        <v>3436</v>
      </c>
      <c r="B19" s="244"/>
      <c r="C19" s="594"/>
      <c r="D19" s="595"/>
      <c r="E19" s="604"/>
      <c r="F19" s="605"/>
      <c r="G19" s="605"/>
      <c r="H19" s="605"/>
      <c r="I19" s="605"/>
      <c r="J19" s="606"/>
      <c r="K19" s="244"/>
      <c r="L19" s="616"/>
      <c r="M19" s="617"/>
      <c r="N19" s="618"/>
    </row>
    <row r="20" spans="1:14" ht="15" thickBot="1">
      <c r="A20" s="340" t="s">
        <v>3378</v>
      </c>
      <c r="B20" s="244"/>
      <c r="C20" s="594"/>
      <c r="D20" s="595"/>
      <c r="E20" s="604"/>
      <c r="F20" s="605"/>
      <c r="G20" s="605"/>
      <c r="H20" s="605"/>
      <c r="I20" s="605"/>
      <c r="J20" s="606"/>
      <c r="K20" s="244"/>
      <c r="L20" s="616"/>
      <c r="M20" s="617"/>
      <c r="N20" s="618"/>
    </row>
    <row r="21" spans="1:14">
      <c r="A21" s="339" t="s">
        <v>3430</v>
      </c>
      <c r="B21" s="244"/>
      <c r="C21" s="596"/>
      <c r="D21" s="597"/>
      <c r="E21" s="607"/>
      <c r="F21" s="608"/>
      <c r="G21" s="608"/>
      <c r="H21" s="608"/>
      <c r="I21" s="608"/>
      <c r="J21" s="609"/>
      <c r="K21" s="244"/>
      <c r="L21" s="324"/>
      <c r="M21" s="325"/>
      <c r="N21" s="166"/>
    </row>
    <row r="22" spans="1:14">
      <c r="A22" s="340" t="s">
        <v>3433</v>
      </c>
      <c r="B22" s="244"/>
      <c r="K22" s="244"/>
      <c r="L22" s="145"/>
      <c r="N22" s="149"/>
    </row>
    <row r="23" spans="1:14">
      <c r="A23" s="340" t="s">
        <v>3428</v>
      </c>
      <c r="B23" s="244"/>
      <c r="C23" s="112"/>
      <c r="D23" s="112"/>
      <c r="E23" s="112"/>
      <c r="F23" s="112"/>
      <c r="G23" s="112"/>
      <c r="H23" s="112"/>
      <c r="I23" s="112"/>
      <c r="J23" s="112"/>
      <c r="K23" s="129"/>
      <c r="L23" s="145"/>
      <c r="N23" s="149"/>
    </row>
    <row r="24" spans="1:14">
      <c r="A24" s="340" t="s">
        <v>11</v>
      </c>
      <c r="B24" s="129"/>
      <c r="C24" s="112"/>
      <c r="D24" s="112"/>
      <c r="E24" s="112"/>
      <c r="F24" s="112"/>
      <c r="G24" s="112"/>
      <c r="H24" s="112"/>
      <c r="I24" s="112"/>
      <c r="J24" s="112"/>
      <c r="K24" s="129"/>
      <c r="L24" s="145"/>
      <c r="N24" s="149"/>
    </row>
    <row r="25" spans="1:14" ht="15" thickBot="1">
      <c r="A25" s="340" t="s">
        <v>13</v>
      </c>
      <c r="B25" s="245"/>
      <c r="C25" s="113"/>
      <c r="D25" s="113"/>
      <c r="E25" s="113"/>
      <c r="F25" s="113"/>
      <c r="G25" s="113"/>
      <c r="H25" s="113"/>
      <c r="I25" s="113"/>
      <c r="J25" s="113"/>
      <c r="K25" s="245"/>
      <c r="L25" s="150"/>
      <c r="M25" s="151"/>
      <c r="N25" s="152"/>
    </row>
    <row r="26" spans="1:14">
      <c r="L26" s="111"/>
    </row>
    <row r="27" spans="1:14">
      <c r="L27" s="111"/>
    </row>
    <row r="28" spans="1:14" hidden="1">
      <c r="L28" s="111"/>
    </row>
    <row r="29" spans="1:14" hidden="1">
      <c r="L29" s="111"/>
    </row>
    <row r="30" spans="1:14" hidden="1">
      <c r="L30" s="111"/>
    </row>
    <row r="31" spans="1:14" hidden="1">
      <c r="L31" s="111"/>
    </row>
    <row r="32" spans="1:14" hidden="1">
      <c r="L32" s="111"/>
    </row>
    <row r="33" spans="12:12" hidden="1">
      <c r="L33" s="111"/>
    </row>
    <row r="34" spans="12:12" hidden="1">
      <c r="L34" s="111"/>
    </row>
    <row r="35" spans="12:12" hidden="1">
      <c r="L35" s="111"/>
    </row>
    <row r="36" spans="12:12" hidden="1">
      <c r="L36" s="111"/>
    </row>
    <row r="37" spans="12:12" hidden="1">
      <c r="L37" s="111"/>
    </row>
    <row r="38" spans="12:12" hidden="1">
      <c r="L38" s="111"/>
    </row>
    <row r="39" spans="12:12" hidden="1">
      <c r="L39" s="111"/>
    </row>
    <row r="40" spans="12:12" hidden="1">
      <c r="L40" s="111"/>
    </row>
    <row r="41" spans="12:12" hidden="1">
      <c r="L41" s="111"/>
    </row>
    <row r="42" spans="12:12" hidden="1">
      <c r="L42" s="111"/>
    </row>
    <row r="43" spans="12:12" hidden="1">
      <c r="L43" s="111"/>
    </row>
  </sheetData>
  <protectedRanges>
    <protectedRange sqref="E3:E4 E7:E17" name="Plage1"/>
    <protectedRange sqref="L3" name="Plage1_1"/>
    <protectedRange sqref="E6" name="Plage1_2"/>
    <protectedRange sqref="E5" name="Plage1_3"/>
  </protectedRanges>
  <mergeCells count="17">
    <mergeCell ref="L1:N1"/>
    <mergeCell ref="E17:J21"/>
    <mergeCell ref="L2:N2"/>
    <mergeCell ref="L7:N7"/>
    <mergeCell ref="L14:N14"/>
    <mergeCell ref="L15:N20"/>
    <mergeCell ref="C9:D9"/>
    <mergeCell ref="C11:D11"/>
    <mergeCell ref="C13:D13"/>
    <mergeCell ref="C15:D15"/>
    <mergeCell ref="C17:D21"/>
    <mergeCell ref="C5:D5"/>
    <mergeCell ref="B1:K1"/>
    <mergeCell ref="C8:D8"/>
    <mergeCell ref="C6:D6"/>
    <mergeCell ref="C3:D3"/>
    <mergeCell ref="C4:D4"/>
  </mergeCells>
  <dataValidations count="5">
    <dataValidation allowBlank="1" showInputMessage="1" showErrorMessage="1" prompt="Renseigner le nom de votre structure/établissement." sqref="E3" xr:uid="{00000000-0002-0000-0200-000001000000}"/>
    <dataValidation allowBlank="1" showInputMessage="1" showErrorMessage="1" prompt="Renseigner le nom de la personne pilote du bilan, en charge de sa réalisation, de la collecte des données et de sa future mise à jour." sqref="E4" xr:uid="{00000000-0002-0000-0200-000002000000}"/>
    <dataValidation allowBlank="1" showInputMessage="1" showErrorMessage="1" prompt="Cette information inclue CDI, CDD, Stagiaires, hors intermittents. Idéalement, cette information est à compléter en temps équivalent temps plein " sqref="E8" xr:uid="{00000000-0002-0000-0200-000005000000}"/>
    <dataValidation allowBlank="1" showInputMessage="1" showErrorMessage="1" prompt="Nombre de visiteurs / spectateurs sur l’année" sqref="E13" xr:uid="{00000000-0002-0000-0200-000006000000}"/>
    <dataValidation type="whole" allowBlank="1" showInputMessage="1" showErrorMessage="1" sqref="E5:E6" xr:uid="{569ADCC1-8DC2-497C-A707-848EBE86470C}">
      <formula1>1900</formula1>
      <formula2>YEAR(TODAY())</formula2>
    </dataValidation>
  </dataValidations>
  <hyperlinks>
    <hyperlink ref="A7" location="'2_ConsoEnergieEau'!A1" display="Consommation d'énergie et d'eau" xr:uid="{DCC28973-0E2C-414A-9256-18FBE1BC89A9}"/>
    <hyperlink ref="A8" location="'3_Climatisation'!A1" display="Climatisation" xr:uid="{28C2C16B-EE4F-4F70-8CD2-74B045C97F19}"/>
    <hyperlink ref="A12" location="'7_DéplacementsProfessionnels'!A1" display="Déplacements professionnels" xr:uid="{661C2565-B062-4030-A1AE-513836F1A4C5}"/>
    <hyperlink ref="A13" location="'8_DéplacementsSalariés'!A1" display="Déplacements des salariés" xr:uid="{6AAB77EA-F641-4756-BC55-9641986C772F}"/>
    <hyperlink ref="A17" location="'12_Equipements'!A1" display="Equipements" xr:uid="{1574BE16-12E7-4CC8-83DE-A5487439A0AB}"/>
    <hyperlink ref="A10" location="'5_Déchets'!A1" display="Déchets" xr:uid="{7F80C857-B670-4C94-93CD-09B4B6D5DA30}"/>
    <hyperlink ref="A22" location="'17_TransportMatériel'!A1" display="Transport de matériel et d'œuvres" xr:uid="{718A4443-DC0C-4167-AA6D-A038FD9FC588}"/>
    <hyperlink ref="A23" location="'18_ImpressionsComPapier'!A1" display="Impression et communication papier" xr:uid="{D954F6D1-219D-4D4B-B9C3-711A961974A6}"/>
    <hyperlink ref="A24" location="'19_ComDigitale'!A1" display="Communication digitale" xr:uid="{9CD99209-0635-4182-8FD6-70F8A3AAA7A9}"/>
    <hyperlink ref="A25" location="'20_Billetterie'!A1" display="Billetterie" xr:uid="{66985DF8-BAED-4C57-A196-6A650AC4DA47}"/>
    <hyperlink ref="A20" location="'15_Alimentation'!A1" display="Alimentation" xr:uid="{1E7CD27A-373C-4A6C-8425-0FB7018D4561}"/>
    <hyperlink ref="A14" location="'9_DéplacementsVisiteurs'!A1" display="Déplacements des visiteurs" xr:uid="{FDD8A8DB-67F3-4698-98CA-F317284D68D5}"/>
    <hyperlink ref="A15" location="'10_Tournées artistiques'!A1" display="Tournées artistiques" xr:uid="{6CA023DC-601B-4407-BF50-D725757EBE8B}"/>
    <hyperlink ref="A16" location="'11_Artistes invité.e.s'!A1" display="Artistes invité.e.s" xr:uid="{14FCC47E-3E05-41B0-B870-3D2F47E74205}"/>
    <hyperlink ref="A9" location="'4_Bâtiments,travaux, agcmt'!A1" display="Bâtiments, travaux et agencements" xr:uid="{146C6F02-E57B-4BA0-B61E-CD75EA1E6E87}"/>
    <hyperlink ref="A18" location="'13_Achats - Documents papiers'!A1" display="Achats - Documents papiers" xr:uid="{A6D1825B-7F43-4D17-85CA-B6164E1D9365}"/>
    <hyperlink ref="A21" location="'16_Autres achats (€)'!A1" display="Autres achats" xr:uid="{4AB3F10C-6BCE-4D33-81B7-DD5142B8919A}"/>
    <hyperlink ref="A19" location="'14_Décors'!A1" display="Décors" xr:uid="{70D265A1-67D2-4253-BC5E-E80F7723A1DB}"/>
    <hyperlink ref="A11" location="'6_DéplacementsPrestations'!A1" display="Déplacements de prestations" xr:uid="{B01AC735-66BE-4C62-B459-35C1D14B6FFF}"/>
    <hyperlink ref="A6" location="'1_Votre Structure'!A1" display="Votre structure" xr:uid="{A97C4767-8190-4CE8-A060-881A9BD21DE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N76"/>
  <sheetViews>
    <sheetView showGridLines="0" topLeftCell="A13" zoomScale="73" zoomScaleNormal="80" workbookViewId="0"/>
  </sheetViews>
  <sheetFormatPr baseColWidth="10" defaultColWidth="0" defaultRowHeight="14.5" zeroHeight="1"/>
  <cols>
    <col min="1" max="1" width="25.81640625" bestFit="1" customWidth="1"/>
    <col min="2" max="2" width="15.54296875" style="112" customWidth="1"/>
    <col min="3" max="3" width="40.1796875" style="112" customWidth="1"/>
    <col min="4" max="10" width="15.54296875" style="112" customWidth="1"/>
    <col min="11" max="11" width="11.453125" style="112" customWidth="1"/>
    <col min="12" max="13" width="11.1796875" customWidth="1"/>
    <col min="14" max="14" width="13.453125" customWidth="1"/>
    <col min="15" max="16384" width="11.1796875" hidden="1"/>
  </cols>
  <sheetData>
    <row r="1" spans="1:14" ht="21.25" customHeight="1" thickBot="1">
      <c r="A1" s="532" t="s">
        <v>4039</v>
      </c>
      <c r="B1" s="550" t="s">
        <v>3414</v>
      </c>
      <c r="C1" s="623"/>
      <c r="D1" s="623"/>
      <c r="E1" s="623"/>
      <c r="F1" s="623"/>
      <c r="G1" s="623"/>
      <c r="H1" s="623"/>
      <c r="I1" s="623"/>
      <c r="J1" s="624"/>
      <c r="K1" s="598" t="s">
        <v>3391</v>
      </c>
      <c r="L1" s="599"/>
      <c r="M1" s="600"/>
    </row>
    <row r="2" spans="1:14" ht="14.5" customHeight="1" thickBot="1">
      <c r="A2" s="342" t="s">
        <v>3359</v>
      </c>
      <c r="B2" s="305" t="s">
        <v>3432</v>
      </c>
      <c r="C2" s="134"/>
      <c r="E2" s="631">
        <f>E22+I12</f>
        <v>0</v>
      </c>
      <c r="F2" s="632"/>
      <c r="G2" s="494"/>
      <c r="H2" s="134"/>
      <c r="I2" s="134"/>
      <c r="J2" s="135"/>
      <c r="K2" s="610" t="s">
        <v>3457</v>
      </c>
      <c r="L2" s="611"/>
      <c r="M2" s="612"/>
    </row>
    <row r="3" spans="1:14">
      <c r="A3" s="348"/>
      <c r="B3" s="306" t="s">
        <v>3432</v>
      </c>
      <c r="C3" s="111"/>
      <c r="D3" s="111"/>
      <c r="E3" s="111"/>
      <c r="F3" s="111"/>
      <c r="G3" s="111"/>
      <c r="H3" s="111"/>
      <c r="I3" s="111"/>
      <c r="J3" s="125"/>
      <c r="K3" s="331"/>
      <c r="L3" s="332"/>
      <c r="M3" s="333"/>
    </row>
    <row r="4" spans="1:14" ht="14.4" customHeight="1">
      <c r="A4" s="348"/>
      <c r="B4" s="306" t="s">
        <v>3432</v>
      </c>
      <c r="C4" s="629" t="s">
        <v>3454</v>
      </c>
      <c r="D4" s="630"/>
      <c r="E4" s="630"/>
      <c r="F4" s="630"/>
      <c r="G4" s="630"/>
      <c r="H4" s="630"/>
      <c r="I4" s="630"/>
      <c r="J4" s="125"/>
      <c r="K4" s="331"/>
      <c r="L4" s="332"/>
      <c r="M4" s="333"/>
      <c r="N4" s="293"/>
    </row>
    <row r="5" spans="1:14">
      <c r="A5" s="348"/>
      <c r="B5" s="306"/>
      <c r="C5" s="630"/>
      <c r="D5" s="630"/>
      <c r="E5" s="630"/>
      <c r="F5" s="630"/>
      <c r="G5" s="630"/>
      <c r="H5" s="630"/>
      <c r="I5" s="630"/>
      <c r="J5" s="125"/>
      <c r="K5" s="331"/>
      <c r="L5" s="332"/>
      <c r="M5" s="333"/>
    </row>
    <row r="6" spans="1:14">
      <c r="A6" s="341" t="s">
        <v>3357</v>
      </c>
      <c r="B6" s="306"/>
      <c r="C6" s="630"/>
      <c r="D6" s="630"/>
      <c r="E6" s="630"/>
      <c r="F6" s="630"/>
      <c r="G6" s="630"/>
      <c r="H6" s="630"/>
      <c r="I6" s="630"/>
      <c r="J6" s="125"/>
      <c r="K6" s="331"/>
      <c r="L6" s="332"/>
      <c r="M6" s="333"/>
    </row>
    <row r="7" spans="1:14">
      <c r="A7" s="339" t="s">
        <v>3434</v>
      </c>
      <c r="B7" s="306"/>
      <c r="C7" s="630"/>
      <c r="D7" s="630"/>
      <c r="E7" s="630"/>
      <c r="F7" s="630"/>
      <c r="G7" s="630"/>
      <c r="H7" s="630"/>
      <c r="I7" s="630"/>
      <c r="J7" s="125"/>
      <c r="K7" s="610" t="s">
        <v>3458</v>
      </c>
      <c r="L7" s="611"/>
      <c r="M7" s="612"/>
    </row>
    <row r="8" spans="1:14">
      <c r="A8" s="339" t="s">
        <v>7</v>
      </c>
      <c r="B8" s="306"/>
      <c r="C8" s="630"/>
      <c r="D8" s="630"/>
      <c r="E8" s="630"/>
      <c r="F8" s="630"/>
      <c r="G8" s="630"/>
      <c r="H8" s="630"/>
      <c r="I8" s="630"/>
      <c r="J8" s="125"/>
      <c r="K8" s="331"/>
      <c r="L8" s="332"/>
      <c r="M8" s="333"/>
    </row>
    <row r="9" spans="1:14">
      <c r="A9" s="339" t="s">
        <v>3427</v>
      </c>
      <c r="B9" s="306" t="s">
        <v>3432</v>
      </c>
      <c r="C9" s="111"/>
      <c r="D9" s="111"/>
      <c r="E9" s="111"/>
      <c r="F9" s="111"/>
      <c r="G9" s="111"/>
      <c r="H9" s="111"/>
      <c r="I9" s="111"/>
      <c r="J9" s="125"/>
      <c r="K9" s="331"/>
      <c r="L9" s="332"/>
      <c r="M9" s="333"/>
    </row>
    <row r="10" spans="1:14" ht="26" customHeight="1">
      <c r="A10" s="340" t="s">
        <v>10</v>
      </c>
      <c r="B10" s="306" t="s">
        <v>3432</v>
      </c>
      <c r="C10" s="627" t="s">
        <v>41</v>
      </c>
      <c r="D10" s="628"/>
      <c r="E10" s="628"/>
      <c r="F10" s="111"/>
      <c r="G10" s="111"/>
      <c r="H10" s="625" t="s">
        <v>42</v>
      </c>
      <c r="I10" s="626"/>
      <c r="J10" s="125"/>
      <c r="K10" s="331"/>
      <c r="L10" s="332"/>
      <c r="M10" s="333"/>
    </row>
    <row r="11" spans="1:14" ht="25">
      <c r="A11" s="340" t="s">
        <v>3645</v>
      </c>
      <c r="B11" s="306" t="s">
        <v>3432</v>
      </c>
      <c r="C11" s="117" t="s">
        <v>43</v>
      </c>
      <c r="D11" s="122" t="s">
        <v>44</v>
      </c>
      <c r="E11" s="117" t="s">
        <v>23</v>
      </c>
      <c r="F11" s="111"/>
      <c r="G11" s="111"/>
      <c r="H11" s="117" t="s">
        <v>45</v>
      </c>
      <c r="I11" s="117" t="s">
        <v>23</v>
      </c>
      <c r="J11" s="125"/>
      <c r="K11" s="331"/>
      <c r="L11" s="332"/>
      <c r="M11" s="333"/>
    </row>
    <row r="12" spans="1:14" ht="14.4" customHeight="1">
      <c r="A12" s="339" t="s">
        <v>3431</v>
      </c>
      <c r="B12" s="306" t="s">
        <v>3432</v>
      </c>
      <c r="C12" s="118"/>
      <c r="D12" s="119"/>
      <c r="E12" s="123">
        <f>IFERROR(D12*VLOOKUP(C12,'BDD FE'!$B$7:$E$22,2,0)*10^-3,0)</f>
        <v>0</v>
      </c>
      <c r="F12" s="362"/>
      <c r="G12" s="111"/>
      <c r="H12" s="114"/>
      <c r="I12" s="123">
        <f>H12*10^-3*'BDD FE'!$C$30</f>
        <v>0</v>
      </c>
      <c r="J12" s="125"/>
      <c r="K12" s="331"/>
      <c r="L12" s="332"/>
      <c r="M12" s="333"/>
    </row>
    <row r="13" spans="1:14">
      <c r="A13" s="340" t="s">
        <v>5</v>
      </c>
      <c r="B13" s="306" t="s">
        <v>3432</v>
      </c>
      <c r="C13" s="118"/>
      <c r="D13" s="119"/>
      <c r="E13" s="123">
        <f>IFERROR(D13*VLOOKUP(C13,'BDD FE'!$B$7:$E$22,2,0)*10^-3,0)</f>
        <v>0</v>
      </c>
      <c r="F13" s="111"/>
      <c r="G13" s="111"/>
      <c r="H13" s="111"/>
      <c r="I13" s="316"/>
      <c r="J13" s="125"/>
      <c r="K13" s="334"/>
      <c r="L13" s="335"/>
      <c r="M13" s="336"/>
    </row>
    <row r="14" spans="1:14">
      <c r="A14" s="339" t="s">
        <v>6</v>
      </c>
      <c r="B14" s="306" t="s">
        <v>3432</v>
      </c>
      <c r="C14" s="118"/>
      <c r="D14" s="119"/>
      <c r="E14" s="123">
        <f>IFERROR(D14*VLOOKUP(C14,'BDD FE'!$B$7:$E$22,2,0)*10^-3,0)</f>
        <v>0</v>
      </c>
      <c r="F14" s="111"/>
      <c r="G14" s="111"/>
      <c r="H14" s="111"/>
      <c r="I14" s="111"/>
      <c r="J14" s="125"/>
      <c r="K14" s="613" t="s">
        <v>3459</v>
      </c>
      <c r="L14" s="614"/>
      <c r="M14" s="615"/>
    </row>
    <row r="15" spans="1:14">
      <c r="A15" s="340" t="s">
        <v>12</v>
      </c>
      <c r="B15" s="306"/>
      <c r="C15" s="118"/>
      <c r="D15" s="119"/>
      <c r="E15" s="123">
        <f>IFERROR(D15*VLOOKUP(C15,'BDD FE'!$B$7:$E$22,2,0)*10^-3,0)</f>
        <v>0</v>
      </c>
      <c r="F15" s="111"/>
      <c r="G15" s="111"/>
      <c r="H15" s="111"/>
      <c r="I15" s="111"/>
      <c r="J15" s="125"/>
      <c r="K15" s="616"/>
      <c r="L15" s="617"/>
      <c r="M15" s="618"/>
    </row>
    <row r="16" spans="1:14">
      <c r="A16" s="340" t="s">
        <v>14</v>
      </c>
      <c r="B16" s="306"/>
      <c r="C16" s="118"/>
      <c r="D16" s="119"/>
      <c r="E16" s="123">
        <f>IFERROR(D16*VLOOKUP(C16,'BDD FE'!$B$7:$E$22,2,0)*10^-3,0)</f>
        <v>0</v>
      </c>
      <c r="F16" s="111"/>
      <c r="G16" s="111"/>
      <c r="H16" s="111"/>
      <c r="I16" s="111"/>
      <c r="J16" s="125"/>
      <c r="K16" s="616"/>
      <c r="L16" s="617"/>
      <c r="M16" s="618"/>
    </row>
    <row r="17" spans="1:13">
      <c r="A17" s="339" t="s">
        <v>3426</v>
      </c>
      <c r="B17" s="306"/>
      <c r="C17" s="118"/>
      <c r="D17" s="119"/>
      <c r="E17" s="123">
        <f>IFERROR(D17*VLOOKUP(C17,'BDD FE'!$B$7:$E$22,2,0)*10^-3,0)</f>
        <v>0</v>
      </c>
      <c r="F17" s="111"/>
      <c r="G17" s="111"/>
      <c r="H17" s="111"/>
      <c r="I17" s="111"/>
      <c r="J17" s="125"/>
      <c r="K17" s="616"/>
      <c r="L17" s="617"/>
      <c r="M17" s="618"/>
    </row>
    <row r="18" spans="1:13">
      <c r="A18" s="340" t="s">
        <v>3918</v>
      </c>
      <c r="B18" s="306"/>
      <c r="C18" s="118"/>
      <c r="D18" s="119"/>
      <c r="E18" s="123">
        <f>IFERROR(D18*VLOOKUP(C18,'BDD FE'!$B$7:$E$22,2,0)*10^-3,0)</f>
        <v>0</v>
      </c>
      <c r="F18" s="111"/>
      <c r="G18" s="111"/>
      <c r="H18" s="111"/>
      <c r="I18" s="111"/>
      <c r="J18" s="125"/>
      <c r="K18" s="616"/>
      <c r="L18" s="617"/>
      <c r="M18" s="618"/>
    </row>
    <row r="19" spans="1:13">
      <c r="A19" s="340" t="s">
        <v>3436</v>
      </c>
      <c r="B19" s="306"/>
      <c r="C19" s="118"/>
      <c r="D19" s="119"/>
      <c r="E19" s="123">
        <f>IFERROR(D19*VLOOKUP(C19,'BDD FE'!$B$7:$E$22,2,0)*10^-3,0)</f>
        <v>0</v>
      </c>
      <c r="F19" s="111"/>
      <c r="G19" s="111"/>
      <c r="H19" s="111"/>
      <c r="I19" s="111"/>
      <c r="J19" s="125"/>
      <c r="K19" s="616"/>
      <c r="L19" s="617"/>
      <c r="M19" s="618"/>
    </row>
    <row r="20" spans="1:13" ht="15" thickBot="1">
      <c r="A20" s="340" t="s">
        <v>3378</v>
      </c>
      <c r="B20" s="306" t="s">
        <v>3432</v>
      </c>
      <c r="C20" s="118"/>
      <c r="D20" s="119"/>
      <c r="E20" s="123">
        <f>IFERROR(D20*VLOOKUP(C20,'BDD FE'!$B$7:$E$22,2,0)*10^-3,0)</f>
        <v>0</v>
      </c>
      <c r="F20" s="111"/>
      <c r="G20" s="111"/>
      <c r="H20" s="111"/>
      <c r="I20" s="111"/>
      <c r="J20" s="125"/>
      <c r="K20" s="616"/>
      <c r="L20" s="617"/>
      <c r="M20" s="618"/>
    </row>
    <row r="21" spans="1:13">
      <c r="A21" s="339" t="s">
        <v>3430</v>
      </c>
      <c r="B21" s="306" t="s">
        <v>3432</v>
      </c>
      <c r="C21" s="118"/>
      <c r="D21" s="119"/>
      <c r="E21" s="123">
        <f>IFERROR(D21*VLOOKUP(C21,'BDD FE'!$B$7:$E$22,2,0)*10^-3,0)</f>
        <v>0</v>
      </c>
      <c r="F21" s="111"/>
      <c r="G21" s="111"/>
      <c r="H21" s="111"/>
      <c r="I21" s="111"/>
      <c r="J21" s="125"/>
      <c r="K21" s="324"/>
      <c r="L21" s="325"/>
      <c r="M21" s="166"/>
    </row>
    <row r="22" spans="1:13">
      <c r="A22" s="340" t="s">
        <v>3433</v>
      </c>
      <c r="B22" s="306" t="s">
        <v>3432</v>
      </c>
      <c r="C22" s="111"/>
      <c r="D22" s="111"/>
      <c r="E22" s="139">
        <f>SUM(E12:E21)</f>
        <v>0</v>
      </c>
      <c r="F22" s="111"/>
      <c r="G22" s="111"/>
      <c r="H22" s="111"/>
      <c r="I22" s="111"/>
      <c r="J22" s="125"/>
      <c r="K22" s="145"/>
      <c r="M22" s="149"/>
    </row>
    <row r="23" spans="1:13">
      <c r="A23" s="340" t="s">
        <v>3428</v>
      </c>
      <c r="B23" s="306" t="s">
        <v>3432</v>
      </c>
      <c r="C23" s="111"/>
      <c r="D23" s="111"/>
      <c r="E23" s="111"/>
      <c r="F23" s="111"/>
      <c r="G23" s="111"/>
      <c r="H23" s="111"/>
      <c r="I23" s="111"/>
      <c r="J23" s="125"/>
      <c r="K23" s="145"/>
      <c r="M23" s="149"/>
    </row>
    <row r="24" spans="1:13">
      <c r="A24" s="340" t="s">
        <v>11</v>
      </c>
      <c r="B24" s="306" t="s">
        <v>3432</v>
      </c>
      <c r="C24" s="111"/>
      <c r="D24" s="111"/>
      <c r="E24" s="111"/>
      <c r="F24" s="111"/>
      <c r="G24" s="111"/>
      <c r="H24" s="111"/>
      <c r="I24" s="111"/>
      <c r="J24" s="125"/>
      <c r="K24" s="145"/>
      <c r="M24" s="149"/>
    </row>
    <row r="25" spans="1:13" ht="15" thickBot="1">
      <c r="A25" s="340" t="s">
        <v>13</v>
      </c>
      <c r="B25" s="306" t="s">
        <v>3432</v>
      </c>
      <c r="C25" s="137"/>
      <c r="D25" s="137"/>
      <c r="E25" s="137"/>
      <c r="F25" s="137"/>
      <c r="G25" s="137"/>
      <c r="H25" s="137"/>
      <c r="I25" s="137"/>
      <c r="J25" s="138"/>
      <c r="K25" s="150"/>
      <c r="L25" s="151"/>
      <c r="M25" s="152"/>
    </row>
    <row r="26" spans="1:13" ht="20.5" thickBot="1">
      <c r="B26" s="620" t="s">
        <v>46</v>
      </c>
      <c r="C26" s="621"/>
      <c r="D26" s="621"/>
      <c r="E26" s="621"/>
      <c r="F26" s="621"/>
      <c r="G26" s="621"/>
      <c r="H26" s="621"/>
      <c r="I26" s="621"/>
      <c r="J26" s="622"/>
      <c r="K26" s="111"/>
    </row>
    <row r="27" spans="1:13" ht="15" customHeight="1">
      <c r="B27" s="124"/>
      <c r="C27" s="111"/>
      <c r="D27" s="111"/>
      <c r="E27" s="111"/>
      <c r="F27" s="111"/>
      <c r="G27" s="111"/>
      <c r="H27" s="111"/>
      <c r="I27" s="111"/>
      <c r="J27" s="125"/>
      <c r="K27" s="111"/>
    </row>
    <row r="28" spans="1:13" ht="14.4" customHeight="1">
      <c r="B28" s="127"/>
      <c r="C28" s="619" t="s">
        <v>3354</v>
      </c>
      <c r="D28" s="619"/>
      <c r="E28" s="619"/>
      <c r="F28" s="111"/>
      <c r="G28" s="111"/>
      <c r="H28" s="111"/>
      <c r="I28" s="111"/>
      <c r="J28" s="125"/>
      <c r="K28" s="111"/>
    </row>
    <row r="29" spans="1:13" ht="25">
      <c r="B29" s="127"/>
      <c r="C29" s="155" t="s">
        <v>47</v>
      </c>
      <c r="D29" s="122" t="s">
        <v>48</v>
      </c>
      <c r="E29" s="117" t="s">
        <v>118</v>
      </c>
      <c r="J29" s="125"/>
      <c r="K29" s="111"/>
    </row>
    <row r="30" spans="1:13" ht="14.4" customHeight="1">
      <c r="B30" s="307" t="s">
        <v>3432</v>
      </c>
      <c r="C30" s="155" t="s">
        <v>50</v>
      </c>
      <c r="D30" s="121">
        <f>D38+D53</f>
        <v>0</v>
      </c>
      <c r="E30" s="123">
        <f>SUMIF($C$12:$C$21,B38,$E$12:$E$21)+SUMIF($C$12:$C$21,B53,$E$12:$E$21)</f>
        <v>0</v>
      </c>
      <c r="J30" s="125"/>
      <c r="K30" s="111"/>
    </row>
    <row r="31" spans="1:13" ht="14.4" customHeight="1">
      <c r="B31" s="307" t="s">
        <v>3432</v>
      </c>
      <c r="C31" s="155" t="s">
        <v>52</v>
      </c>
      <c r="D31" s="121">
        <f>D39</f>
        <v>0</v>
      </c>
      <c r="E31" s="123">
        <f>SUMIF($C$12:$C$21,B39,$E$12:$E$21)</f>
        <v>0</v>
      </c>
      <c r="J31" s="125"/>
      <c r="K31" s="111"/>
    </row>
    <row r="32" spans="1:13" ht="14.4" customHeight="1">
      <c r="B32" s="307" t="s">
        <v>3432</v>
      </c>
      <c r="C32" s="155" t="s">
        <v>54</v>
      </c>
      <c r="D32" s="121">
        <f>SUM(D40:D43)</f>
        <v>0</v>
      </c>
      <c r="E32" s="123">
        <f>SUMIF($C$12:$C$21,B41,$E$12:$E$21)+SUMIF($C$12:$C$21,B40,$E$12:$E$21)+SUMIF($C$12:$C$21,B42,$E$12:$E$21)+SUMIF($C$12:$C$21,B43,$E$12:$E$21)</f>
        <v>0</v>
      </c>
      <c r="J32" s="125"/>
      <c r="K32" s="111"/>
    </row>
    <row r="33" spans="2:11" ht="38.25" customHeight="1">
      <c r="B33" s="127"/>
      <c r="C33" s="155" t="s">
        <v>56</v>
      </c>
      <c r="D33" s="121">
        <f>SUM(D48:D52)</f>
        <v>0</v>
      </c>
      <c r="E33" s="123">
        <f>SUMIF($C$12:$C$21,B51,$E$12:$E$21)+SUMIF($C$12:$C$21,B48,$E$12:$E$21)+SUMIF($C$12:$C$21,B50,$E$12:$E$21)+SUMIF($C$12:$C$21,B49,$E$12:$E$21)+SUMIF($C$12:$C$21,B52,$E$12:$E$21)</f>
        <v>0</v>
      </c>
      <c r="J33" s="125"/>
      <c r="K33" s="111"/>
    </row>
    <row r="34" spans="2:11" ht="50.75" customHeight="1">
      <c r="B34" s="127"/>
      <c r="C34" s="155" t="s">
        <v>58</v>
      </c>
      <c r="D34" s="121">
        <f>SUM(D44:D47)</f>
        <v>0</v>
      </c>
      <c r="E34" s="123">
        <f>SUMIF($C$12:$C$21,B44,$E$12:$E$21)+SUMIF($C$12:$C$21,B47,$E$12:$E$21)+SUMIF($C$12:$C$21,B45,$E$12:$E$21)+SUMIF($C$12:$C$21,B46,$E$12:$E$21)</f>
        <v>0</v>
      </c>
      <c r="J34" s="125"/>
      <c r="K34" s="111"/>
    </row>
    <row r="35" spans="2:11" ht="17.25" customHeight="1">
      <c r="B35" s="127"/>
      <c r="E35" s="111"/>
      <c r="F35" s="111"/>
      <c r="G35" s="111"/>
      <c r="I35" s="111"/>
      <c r="J35" s="125"/>
      <c r="K35" s="111"/>
    </row>
    <row r="36" spans="2:11" ht="63.5" customHeight="1">
      <c r="B36" s="127" t="s">
        <v>3353</v>
      </c>
      <c r="E36" s="111"/>
      <c r="F36" s="501"/>
      <c r="G36" s="111"/>
      <c r="I36" s="111"/>
      <c r="J36" s="125"/>
      <c r="K36" s="111"/>
    </row>
    <row r="37" spans="2:11" ht="63.5" customHeight="1">
      <c r="B37" s="140" t="s">
        <v>47</v>
      </c>
      <c r="C37" s="120" t="s">
        <v>44</v>
      </c>
      <c r="D37" s="120" t="s">
        <v>48</v>
      </c>
      <c r="E37" s="111"/>
      <c r="F37" s="501"/>
      <c r="G37" s="111"/>
      <c r="I37" s="111"/>
      <c r="J37" s="125"/>
      <c r="K37" s="111"/>
    </row>
    <row r="38" spans="2:11" ht="76" customHeight="1">
      <c r="B38" s="141" t="s">
        <v>49</v>
      </c>
      <c r="C38" s="121">
        <f>SUMIF($C$12:$C$21,B38,$D$12:$D$21)</f>
        <v>0</v>
      </c>
      <c r="D38" s="121">
        <f>C38</f>
        <v>0</v>
      </c>
      <c r="E38" s="111"/>
      <c r="F38" s="501"/>
      <c r="G38" s="111"/>
      <c r="I38" s="111"/>
      <c r="J38" s="125"/>
      <c r="K38" s="111"/>
    </row>
    <row r="39" spans="2:11" ht="25.4" customHeight="1">
      <c r="B39" s="141" t="s">
        <v>51</v>
      </c>
      <c r="C39" s="121">
        <f t="shared" ref="C39:C53" si="0">SUMIF($C$12:$C$21,B39,$D$12:$D$21)</f>
        <v>0</v>
      </c>
      <c r="D39" s="121">
        <f>C39</f>
        <v>0</v>
      </c>
      <c r="E39" s="111"/>
      <c r="F39" s="111"/>
      <c r="G39" s="111"/>
      <c r="H39" s="111"/>
      <c r="I39" s="111"/>
      <c r="J39" s="125"/>
      <c r="K39" s="111"/>
    </row>
    <row r="40" spans="2:11" ht="25.4" customHeight="1">
      <c r="B40" s="141" t="s">
        <v>53</v>
      </c>
      <c r="C40" s="121">
        <f t="shared" si="0"/>
        <v>0</v>
      </c>
      <c r="D40" s="121">
        <f>C40</f>
        <v>0</v>
      </c>
      <c r="E40" s="111"/>
      <c r="F40" s="111"/>
      <c r="G40" s="111"/>
      <c r="H40" s="111"/>
      <c r="I40" s="111"/>
      <c r="J40" s="125"/>
      <c r="K40" s="111"/>
    </row>
    <row r="41" spans="2:11" ht="38.25" customHeight="1">
      <c r="B41" s="141" t="s">
        <v>55</v>
      </c>
      <c r="C41" s="121">
        <f t="shared" si="0"/>
        <v>0</v>
      </c>
      <c r="D41" s="496">
        <f>C41*'BDD FE'!C26</f>
        <v>0</v>
      </c>
      <c r="E41" s="111"/>
      <c r="F41" s="111"/>
      <c r="G41" s="111"/>
      <c r="H41" s="111"/>
      <c r="I41" s="111"/>
      <c r="J41" s="125"/>
      <c r="K41" s="111"/>
    </row>
    <row r="42" spans="2:11" ht="38.25" customHeight="1">
      <c r="B42" s="141" t="s">
        <v>57</v>
      </c>
      <c r="C42" s="121">
        <f t="shared" si="0"/>
        <v>0</v>
      </c>
      <c r="D42" s="121">
        <f>C42</f>
        <v>0</v>
      </c>
      <c r="E42" s="111"/>
      <c r="F42" s="111"/>
      <c r="G42" s="111"/>
      <c r="H42" s="111"/>
      <c r="I42" s="111"/>
      <c r="J42" s="125"/>
      <c r="K42" s="111"/>
    </row>
    <row r="43" spans="2:11" ht="101.4" customHeight="1">
      <c r="B43" s="141" t="s">
        <v>59</v>
      </c>
      <c r="C43" s="121">
        <f t="shared" si="0"/>
        <v>0</v>
      </c>
      <c r="D43" s="121">
        <f>C43*'BDD FE'!C24</f>
        <v>0</v>
      </c>
      <c r="E43" s="111"/>
      <c r="F43" s="111"/>
      <c r="G43" s="111"/>
      <c r="H43" s="111"/>
      <c r="I43" s="111"/>
      <c r="J43" s="125"/>
      <c r="K43" s="111"/>
    </row>
    <row r="44" spans="2:11" ht="101.4" customHeight="1">
      <c r="B44" s="141" t="s">
        <v>60</v>
      </c>
      <c r="C44" s="121">
        <f t="shared" si="0"/>
        <v>0</v>
      </c>
      <c r="D44" s="121">
        <f>C44*'BDD FE'!C25</f>
        <v>0</v>
      </c>
      <c r="E44" s="111"/>
      <c r="F44" s="111"/>
      <c r="G44" s="111"/>
      <c r="H44" s="111"/>
      <c r="I44" s="111"/>
      <c r="J44" s="125"/>
    </row>
    <row r="45" spans="2:11" ht="114" customHeight="1">
      <c r="B45" s="141" t="s">
        <v>61</v>
      </c>
      <c r="C45" s="121">
        <f t="shared" si="0"/>
        <v>0</v>
      </c>
      <c r="D45" s="121">
        <f t="shared" ref="D45:D50" si="1">C45</f>
        <v>0</v>
      </c>
      <c r="E45" s="111"/>
      <c r="F45" s="111"/>
      <c r="G45" s="111"/>
      <c r="H45" s="111"/>
      <c r="I45" s="111"/>
      <c r="J45" s="125"/>
    </row>
    <row r="46" spans="2:11">
      <c r="B46" s="141" t="s">
        <v>62</v>
      </c>
      <c r="C46" s="121">
        <f t="shared" si="0"/>
        <v>0</v>
      </c>
      <c r="D46" s="121">
        <f t="shared" si="1"/>
        <v>0</v>
      </c>
      <c r="E46" s="111"/>
      <c r="F46" s="111"/>
      <c r="G46" s="111"/>
      <c r="H46" s="111"/>
      <c r="I46" s="111"/>
      <c r="J46" s="125"/>
    </row>
    <row r="47" spans="2:11" ht="88.65" customHeight="1">
      <c r="B47" s="141" t="s">
        <v>63</v>
      </c>
      <c r="C47" s="121">
        <f t="shared" si="0"/>
        <v>0</v>
      </c>
      <c r="D47" s="121">
        <f t="shared" si="1"/>
        <v>0</v>
      </c>
      <c r="E47" s="111"/>
      <c r="F47" s="111"/>
      <c r="G47" s="111"/>
      <c r="H47" s="111"/>
      <c r="I47" s="111"/>
      <c r="J47" s="125"/>
    </row>
    <row r="48" spans="2:11" ht="76" customHeight="1">
      <c r="B48" s="141" t="s">
        <v>64</v>
      </c>
      <c r="C48" s="121">
        <f t="shared" si="0"/>
        <v>0</v>
      </c>
      <c r="D48" s="121">
        <f t="shared" si="1"/>
        <v>0</v>
      </c>
      <c r="E48" s="111"/>
      <c r="F48" s="111"/>
      <c r="G48" s="111"/>
      <c r="H48" s="111"/>
      <c r="I48" s="111"/>
      <c r="J48" s="125"/>
    </row>
    <row r="49" spans="2:10" ht="37.5">
      <c r="B49" s="141" t="s">
        <v>65</v>
      </c>
      <c r="C49" s="121">
        <f t="shared" si="0"/>
        <v>0</v>
      </c>
      <c r="D49" s="121">
        <f t="shared" si="1"/>
        <v>0</v>
      </c>
      <c r="E49" s="111"/>
      <c r="F49" s="111"/>
      <c r="G49" s="111"/>
      <c r="H49" s="111"/>
      <c r="I49" s="111"/>
      <c r="J49" s="125"/>
    </row>
    <row r="50" spans="2:10" ht="37.5">
      <c r="B50" s="141" t="s">
        <v>66</v>
      </c>
      <c r="C50" s="121">
        <f t="shared" si="0"/>
        <v>0</v>
      </c>
      <c r="D50" s="121">
        <f t="shared" si="1"/>
        <v>0</v>
      </c>
      <c r="E50" s="111"/>
      <c r="F50" s="111"/>
      <c r="G50" s="111"/>
      <c r="H50" s="111"/>
      <c r="I50" s="111"/>
      <c r="J50" s="125"/>
    </row>
    <row r="51" spans="2:10" ht="37.5">
      <c r="B51" s="141" t="s">
        <v>67</v>
      </c>
      <c r="C51" s="121">
        <f t="shared" si="0"/>
        <v>0</v>
      </c>
      <c r="D51" s="121">
        <f>C51</f>
        <v>0</v>
      </c>
      <c r="E51" s="111"/>
      <c r="F51" s="111"/>
      <c r="G51" s="111"/>
      <c r="H51" s="111"/>
      <c r="I51" s="111"/>
      <c r="J51" s="125"/>
    </row>
    <row r="52" spans="2:10" ht="37.5">
      <c r="B52" s="141" t="s">
        <v>68</v>
      </c>
      <c r="C52" s="121">
        <f t="shared" si="0"/>
        <v>0</v>
      </c>
      <c r="D52" s="121">
        <f>C52</f>
        <v>0</v>
      </c>
      <c r="E52" s="111"/>
      <c r="F52" s="111"/>
      <c r="G52" s="111"/>
      <c r="H52" s="111"/>
      <c r="I52" s="111"/>
      <c r="J52" s="125"/>
    </row>
    <row r="53" spans="2:10" ht="37.5">
      <c r="B53" s="141" t="s">
        <v>69</v>
      </c>
      <c r="C53" s="121">
        <f t="shared" si="0"/>
        <v>0</v>
      </c>
      <c r="D53" s="121">
        <f>C53</f>
        <v>0</v>
      </c>
      <c r="E53" s="111"/>
      <c r="F53" s="111"/>
      <c r="G53" s="111"/>
      <c r="H53" s="111"/>
      <c r="I53" s="111"/>
      <c r="J53" s="125"/>
    </row>
    <row r="54" spans="2:10">
      <c r="B54" s="127"/>
      <c r="J54" s="126"/>
    </row>
    <row r="55" spans="2:10">
      <c r="B55" s="127"/>
      <c r="J55" s="126"/>
    </row>
    <row r="56" spans="2:10">
      <c r="B56" s="127"/>
      <c r="J56" s="126"/>
    </row>
    <row r="57" spans="2:10">
      <c r="B57" s="127"/>
      <c r="J57" s="126"/>
    </row>
    <row r="58" spans="2:10">
      <c r="B58" s="127"/>
      <c r="J58" s="126"/>
    </row>
    <row r="59" spans="2:10">
      <c r="B59" s="127"/>
      <c r="J59" s="126"/>
    </row>
    <row r="60" spans="2:10">
      <c r="B60" s="127"/>
      <c r="J60" s="126"/>
    </row>
    <row r="61" spans="2:10">
      <c r="B61" s="127"/>
      <c r="J61" s="126"/>
    </row>
    <row r="62" spans="2:10">
      <c r="B62" s="127"/>
      <c r="J62" s="126"/>
    </row>
    <row r="63" spans="2:10">
      <c r="B63" s="127"/>
      <c r="J63" s="126"/>
    </row>
    <row r="64" spans="2:10">
      <c r="B64" s="127"/>
      <c r="J64" s="126"/>
    </row>
    <row r="65" spans="2:10">
      <c r="B65" s="127"/>
      <c r="J65" s="126"/>
    </row>
    <row r="66" spans="2:10">
      <c r="B66" s="127"/>
      <c r="J66" s="126"/>
    </row>
    <row r="67" spans="2:10">
      <c r="B67" s="127"/>
      <c r="J67" s="126"/>
    </row>
    <row r="68" spans="2:10">
      <c r="B68" s="127"/>
      <c r="J68" s="126"/>
    </row>
    <row r="69" spans="2:10">
      <c r="B69" s="127"/>
      <c r="J69" s="126"/>
    </row>
    <row r="70" spans="2:10">
      <c r="B70" s="127"/>
      <c r="J70" s="126"/>
    </row>
    <row r="71" spans="2:10">
      <c r="B71" s="127"/>
      <c r="J71" s="126"/>
    </row>
    <row r="72" spans="2:10">
      <c r="B72" s="127"/>
      <c r="J72" s="126"/>
    </row>
    <row r="73" spans="2:10">
      <c r="B73" s="127"/>
      <c r="J73" s="126"/>
    </row>
    <row r="74" spans="2:10" ht="15" thickBot="1">
      <c r="B74" s="142"/>
      <c r="C74" s="143"/>
      <c r="D74" s="143"/>
      <c r="E74" s="143"/>
      <c r="F74" s="143"/>
      <c r="G74" s="143"/>
      <c r="H74" s="143"/>
      <c r="I74" s="143"/>
      <c r="J74" s="144"/>
    </row>
    <row r="75" spans="2:10"/>
    <row r="76" spans="2:10"/>
  </sheetData>
  <protectedRanges>
    <protectedRange sqref="C12:D21 H12 K3" name="Plage1"/>
  </protectedRanges>
  <mergeCells count="12">
    <mergeCell ref="K1:M1"/>
    <mergeCell ref="K14:M14"/>
    <mergeCell ref="C28:E28"/>
    <mergeCell ref="B26:J26"/>
    <mergeCell ref="B1:J1"/>
    <mergeCell ref="H10:I10"/>
    <mergeCell ref="C10:E10"/>
    <mergeCell ref="C4:I8"/>
    <mergeCell ref="K15:M20"/>
    <mergeCell ref="K2:M2"/>
    <mergeCell ref="K7:M7"/>
    <mergeCell ref="E2:F2"/>
  </mergeCells>
  <hyperlinks>
    <hyperlink ref="A6" location="'1_Votre Structure'!A1" display="Votre structure" xr:uid="{FF507025-EA73-4207-AB0A-DCE3352AF3AF}"/>
    <hyperlink ref="A7" location="'2_ConsoEnergieEau'!A1" display="Consommation d'énergie et d'eau" xr:uid="{427DD9CB-E8B0-4BDB-A533-83CC2E80CADF}"/>
    <hyperlink ref="A8" location="'3_Climatisation'!A1" display="Climatisation" xr:uid="{7E6C239F-B33A-47D6-B532-42932CCB50D9}"/>
    <hyperlink ref="A12" location="'7_DéplacementsProfessionnels'!A1" display="Déplacements professionnels" xr:uid="{84FF5E66-32B7-47E7-9F93-B463C6C8B2D8}"/>
    <hyperlink ref="A13" location="'8_DéplacementsSalariés'!A1" display="Déplacements des salariés" xr:uid="{7D2AE4B1-D15E-4FFD-9824-9747CD2EDA81}"/>
    <hyperlink ref="A17" location="'12_Equipements'!A1" display="Equipements" xr:uid="{1641B6B0-7A18-412E-861F-EF3CCA6C9F11}"/>
    <hyperlink ref="A10" location="'5_Déchets'!A1" display="Déchets" xr:uid="{B139D9F7-DDD7-49B7-8B9D-4737A535136B}"/>
    <hyperlink ref="A22" location="'17_TransportMatériel'!A1" display="Transport de matériel et d'œuvres" xr:uid="{9AC93A6B-C885-4EA5-BE0B-110D5EED6D64}"/>
    <hyperlink ref="A23" location="'18_ImpressionsComPapier'!A1" display="Impression et communication papier" xr:uid="{5DFC1765-EA39-4D67-8885-92F1BEF34E08}"/>
    <hyperlink ref="A24" location="'19_ComDigitale'!A1" display="Communication digitale" xr:uid="{2CBCA26E-C518-4B85-93F9-5A744D6051CD}"/>
    <hyperlink ref="A25" location="'20_Billetterie'!A1" display="Billetterie" xr:uid="{B037FE8C-9E85-418F-B7FC-F46F5F131CAF}"/>
    <hyperlink ref="A20" location="'15_Alimentation'!A1" display="Alimentation" xr:uid="{48DC6F64-1465-4259-98F4-853D87EF53CD}"/>
    <hyperlink ref="A14" location="'9_DéplacementsVisiteurs'!A1" display="Déplacements des visiteurs" xr:uid="{ABEBF79B-672C-4B13-81AA-652DE84F5C1F}"/>
    <hyperlink ref="A15" location="'10_Tournées artistiques'!A1" display="Tournées artistiques" xr:uid="{35A55CAD-A7A0-450C-8F17-DC946FD790CF}"/>
    <hyperlink ref="A16" location="'11_Artistes invité.e.s'!A1" display="Artistes invité.e.s" xr:uid="{C8202C8B-8DC3-4E5D-9AC8-2F5FD7C663C6}"/>
    <hyperlink ref="A9" location="'4_Bâtiments,travaux, agcmt'!A1" display="Bâtiments, travaux et agencements" xr:uid="{C5BB4163-11E9-4694-8761-17413E9F1965}"/>
    <hyperlink ref="A18" location="'13_Achats - Documents papiers'!A1" display="Achats - Documents papiers" xr:uid="{B36C5C6F-76BE-4140-B059-D46C5BB608B1}"/>
    <hyperlink ref="A21" location="'16_Autres achats (€)'!A1" display="Autres achats" xr:uid="{97D93A2E-BB61-4CD2-82AC-FE2653C53ABA}"/>
    <hyperlink ref="A19" location="'14_Décors'!A1" display="Décors" xr:uid="{C02090E7-9787-4127-8EDC-4346FF6CDCEC}"/>
    <hyperlink ref="A11" location="'6_DéplacementsPrestations'!A1" display="Déplacements de prestations" xr:uid="{0F6AE633-6869-4E0B-8259-ADFBFFCAAD1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'BDD FE'!$B$7:$B$22</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N46"/>
  <sheetViews>
    <sheetView showGridLines="0" topLeftCell="A4" zoomScale="84" workbookViewId="0"/>
  </sheetViews>
  <sheetFormatPr baseColWidth="10" defaultColWidth="0" defaultRowHeight="14.5" zeroHeight="1"/>
  <cols>
    <col min="1" max="1" width="25.81640625" bestFit="1" customWidth="1"/>
    <col min="2" max="10" width="15.08984375" style="156" customWidth="1"/>
    <col min="11" max="11" width="11.1796875" style="112" customWidth="1"/>
    <col min="12" max="13" width="11.1796875" customWidth="1"/>
    <col min="14" max="14" width="11.1796875" style="308" customWidth="1"/>
    <col min="15" max="16384" width="11.1796875" style="308" hidden="1"/>
  </cols>
  <sheetData>
    <row r="1" spans="1:13" ht="21.25" customHeight="1" thickBot="1">
      <c r="A1" s="532" t="s">
        <v>4039</v>
      </c>
      <c r="B1" s="620" t="s">
        <v>3355</v>
      </c>
      <c r="C1" s="621"/>
      <c r="D1" s="621"/>
      <c r="E1" s="572"/>
      <c r="F1" s="572"/>
      <c r="G1" s="572"/>
      <c r="H1" s="621"/>
      <c r="I1" s="621"/>
      <c r="J1" s="622"/>
      <c r="K1" s="598" t="s">
        <v>3391</v>
      </c>
      <c r="L1" s="599"/>
      <c r="M1" s="600"/>
    </row>
    <row r="2" spans="1:13" ht="14.5" customHeight="1" thickBot="1">
      <c r="A2" s="342" t="s">
        <v>3359</v>
      </c>
      <c r="B2" s="124"/>
      <c r="C2" s="111"/>
      <c r="D2" s="111"/>
      <c r="F2" s="631">
        <f>E22</f>
        <v>0</v>
      </c>
      <c r="G2" s="632"/>
      <c r="J2" s="125"/>
      <c r="K2" s="610" t="s">
        <v>3457</v>
      </c>
      <c r="L2" s="611"/>
      <c r="M2" s="612"/>
    </row>
    <row r="3" spans="1:13">
      <c r="A3" s="338"/>
      <c r="B3" s="124"/>
      <c r="C3" s="111"/>
      <c r="D3" s="111"/>
      <c r="E3" s="111"/>
      <c r="F3" s="111"/>
      <c r="G3" s="111"/>
      <c r="H3" s="111"/>
      <c r="I3" s="111"/>
      <c r="J3" s="125"/>
      <c r="K3" s="331"/>
      <c r="L3" s="332"/>
      <c r="M3" s="333"/>
    </row>
    <row r="4" spans="1:13" ht="14.4" customHeight="1">
      <c r="A4" s="338"/>
      <c r="B4" s="124"/>
      <c r="C4" s="630" t="s">
        <v>3356</v>
      </c>
      <c r="D4" s="630"/>
      <c r="E4" s="630"/>
      <c r="F4" s="630"/>
      <c r="G4" s="630"/>
      <c r="H4" s="630"/>
      <c r="I4" s="630"/>
      <c r="J4" s="125"/>
      <c r="K4" s="331"/>
      <c r="L4" s="332"/>
      <c r="M4" s="333"/>
    </row>
    <row r="5" spans="1:13" ht="14.4" customHeight="1">
      <c r="A5" s="338"/>
      <c r="B5" s="124"/>
      <c r="C5" s="630"/>
      <c r="D5" s="630"/>
      <c r="E5" s="630"/>
      <c r="F5" s="630"/>
      <c r="G5" s="630"/>
      <c r="H5" s="630"/>
      <c r="I5" s="630"/>
      <c r="J5" s="125"/>
      <c r="K5" s="331"/>
      <c r="L5" s="332"/>
      <c r="M5" s="333"/>
    </row>
    <row r="6" spans="1:13" ht="14.4" customHeight="1">
      <c r="A6" s="338"/>
      <c r="B6" s="124"/>
      <c r="C6" s="630"/>
      <c r="D6" s="630"/>
      <c r="E6" s="630"/>
      <c r="F6" s="630"/>
      <c r="G6" s="630"/>
      <c r="H6" s="630"/>
      <c r="I6" s="630"/>
      <c r="J6" s="125"/>
      <c r="K6" s="331"/>
      <c r="L6" s="332"/>
      <c r="M6" s="333"/>
    </row>
    <row r="7" spans="1:13" ht="14.4" customHeight="1">
      <c r="A7" s="338"/>
      <c r="B7" s="124"/>
      <c r="C7" s="630"/>
      <c r="D7" s="630"/>
      <c r="E7" s="630"/>
      <c r="F7" s="630"/>
      <c r="G7" s="630"/>
      <c r="H7" s="630"/>
      <c r="I7" s="630"/>
      <c r="J7" s="125"/>
      <c r="K7" s="331"/>
      <c r="L7" s="332"/>
      <c r="M7" s="333"/>
    </row>
    <row r="8" spans="1:13">
      <c r="A8" s="338"/>
      <c r="B8" s="124"/>
      <c r="C8" s="630"/>
      <c r="D8" s="630"/>
      <c r="E8" s="630"/>
      <c r="F8" s="630"/>
      <c r="G8" s="630"/>
      <c r="H8" s="630"/>
      <c r="I8" s="630"/>
      <c r="J8" s="125"/>
      <c r="K8" s="331"/>
      <c r="L8" s="332"/>
      <c r="M8" s="333"/>
    </row>
    <row r="9" spans="1:13">
      <c r="A9" s="341" t="s">
        <v>3357</v>
      </c>
      <c r="B9" s="124"/>
      <c r="C9" s="630"/>
      <c r="D9" s="630"/>
      <c r="E9" s="630"/>
      <c r="F9" s="630"/>
      <c r="G9" s="630"/>
      <c r="H9" s="630"/>
      <c r="I9" s="630"/>
      <c r="J9" s="125"/>
      <c r="K9" s="331"/>
      <c r="L9" s="332"/>
      <c r="M9" s="333"/>
    </row>
    <row r="10" spans="1:13">
      <c r="A10" s="339" t="s">
        <v>3434</v>
      </c>
      <c r="B10" s="124"/>
      <c r="C10" s="630"/>
      <c r="D10" s="630"/>
      <c r="E10" s="630"/>
      <c r="F10" s="630"/>
      <c r="G10" s="630"/>
      <c r="H10" s="630"/>
      <c r="I10" s="630"/>
      <c r="J10" s="125"/>
      <c r="K10" s="610" t="s">
        <v>3458</v>
      </c>
      <c r="L10" s="611"/>
      <c r="M10" s="612"/>
    </row>
    <row r="11" spans="1:13">
      <c r="A11" s="339" t="s">
        <v>7</v>
      </c>
      <c r="B11" s="124"/>
      <c r="G11" s="111"/>
      <c r="H11" s="111"/>
      <c r="I11" s="111"/>
      <c r="J11" s="125"/>
      <c r="K11" s="331"/>
      <c r="L11" s="332"/>
      <c r="M11" s="333"/>
    </row>
    <row r="12" spans="1:13" ht="25">
      <c r="A12" s="339" t="s">
        <v>3427</v>
      </c>
      <c r="B12" s="124"/>
      <c r="C12" s="117" t="s">
        <v>70</v>
      </c>
      <c r="D12" s="117" t="s">
        <v>71</v>
      </c>
      <c r="E12" s="117" t="s">
        <v>23</v>
      </c>
      <c r="G12" s="111"/>
      <c r="H12" s="111"/>
      <c r="I12" s="111"/>
      <c r="J12" s="125"/>
      <c r="K12" s="331"/>
      <c r="L12" s="332"/>
      <c r="M12" s="333"/>
    </row>
    <row r="13" spans="1:13">
      <c r="A13" s="340" t="s">
        <v>10</v>
      </c>
      <c r="B13" s="124"/>
      <c r="C13" s="118"/>
      <c r="D13" s="493"/>
      <c r="E13" s="123">
        <f>IFERROR(D13*VLOOKUP(C13,'BDD FE'!$B$33:$E$78,2,0)*10^-3,0)</f>
        <v>0</v>
      </c>
      <c r="G13" s="111"/>
      <c r="H13" s="111"/>
      <c r="I13" s="111"/>
      <c r="J13" s="125"/>
      <c r="K13" s="331"/>
      <c r="L13" s="332"/>
      <c r="M13" s="333"/>
    </row>
    <row r="14" spans="1:13">
      <c r="A14" s="340" t="s">
        <v>3645</v>
      </c>
      <c r="B14" s="124"/>
      <c r="C14" s="118"/>
      <c r="D14" s="119"/>
      <c r="E14" s="123">
        <f>IFERROR(D14*VLOOKUP(C14,'BDD FE'!$B$33:$E$78,2,0)*10^-3,0)</f>
        <v>0</v>
      </c>
      <c r="G14" s="111"/>
      <c r="H14" s="111"/>
      <c r="I14" s="111"/>
      <c r="J14" s="125"/>
      <c r="K14" s="331"/>
      <c r="L14" s="332"/>
      <c r="M14" s="333"/>
    </row>
    <row r="15" spans="1:13">
      <c r="A15" s="339" t="s">
        <v>3431</v>
      </c>
      <c r="B15" s="124"/>
      <c r="C15" s="118"/>
      <c r="D15" s="119"/>
      <c r="E15" s="123">
        <f>IFERROR(D15*VLOOKUP(C15,'BDD FE'!$B$33:$E$78,2,0)*10^-3,0)</f>
        <v>0</v>
      </c>
      <c r="G15" s="111"/>
      <c r="H15" s="111"/>
      <c r="I15" s="111"/>
      <c r="J15" s="125"/>
      <c r="K15" s="331"/>
      <c r="L15" s="332"/>
      <c r="M15" s="333"/>
    </row>
    <row r="16" spans="1:13">
      <c r="A16" s="340" t="s">
        <v>5</v>
      </c>
      <c r="B16" s="124"/>
      <c r="C16" s="118"/>
      <c r="D16" s="119"/>
      <c r="E16" s="123">
        <f>IFERROR(D16*VLOOKUP(C16,'BDD FE'!$B$33:$E$78,2,0)*10^-3,0)</f>
        <v>0</v>
      </c>
      <c r="G16" s="111"/>
      <c r="H16" s="111"/>
      <c r="I16" s="111"/>
      <c r="J16" s="125"/>
      <c r="K16" s="334"/>
      <c r="L16" s="335"/>
      <c r="M16" s="336"/>
    </row>
    <row r="17" spans="1:13">
      <c r="A17" s="339" t="s">
        <v>6</v>
      </c>
      <c r="B17" s="124"/>
      <c r="C17" s="118"/>
      <c r="D17" s="119"/>
      <c r="E17" s="123">
        <f>IFERROR(D17*VLOOKUP(C17,'BDD FE'!$B$33:$E$78,2,0)*10^-3,0)</f>
        <v>0</v>
      </c>
      <c r="G17" s="111"/>
      <c r="H17" s="111"/>
      <c r="I17" s="111"/>
      <c r="J17" s="125"/>
      <c r="K17" s="613" t="s">
        <v>3459</v>
      </c>
      <c r="L17" s="614"/>
      <c r="M17" s="615"/>
    </row>
    <row r="18" spans="1:13">
      <c r="A18" s="340" t="s">
        <v>12</v>
      </c>
      <c r="B18" s="124"/>
      <c r="C18" s="118"/>
      <c r="D18" s="119"/>
      <c r="E18" s="123">
        <f>IFERROR(D18*VLOOKUP(C18,'BDD FE'!$B$33:$E$78,2,0)*10^-3,0)</f>
        <v>0</v>
      </c>
      <c r="G18" s="111"/>
      <c r="H18" s="111"/>
      <c r="I18" s="111"/>
      <c r="J18" s="125"/>
      <c r="K18" s="616"/>
      <c r="L18" s="617"/>
      <c r="M18" s="618"/>
    </row>
    <row r="19" spans="1:13">
      <c r="A19" s="340" t="s">
        <v>14</v>
      </c>
      <c r="B19" s="124"/>
      <c r="C19" s="118"/>
      <c r="D19" s="119"/>
      <c r="E19" s="123">
        <f>IFERROR(D19*VLOOKUP(C19,'BDD FE'!$B$33:$E$78,2,0)*10^-3,0)</f>
        <v>0</v>
      </c>
      <c r="G19" s="111"/>
      <c r="H19" s="111"/>
      <c r="I19" s="111"/>
      <c r="J19" s="125"/>
      <c r="K19" s="616"/>
      <c r="L19" s="617"/>
      <c r="M19" s="618"/>
    </row>
    <row r="20" spans="1:13">
      <c r="A20" s="339" t="s">
        <v>3426</v>
      </c>
      <c r="B20" s="124"/>
      <c r="C20" s="118"/>
      <c r="D20" s="119"/>
      <c r="E20" s="123">
        <f>IFERROR(D20*VLOOKUP(C20,'BDD FE'!$B$33:$E$78,2,0)*10^-3,0)</f>
        <v>0</v>
      </c>
      <c r="G20" s="111"/>
      <c r="H20" s="111"/>
      <c r="I20" s="111"/>
      <c r="J20" s="125"/>
      <c r="K20" s="616"/>
      <c r="L20" s="617"/>
      <c r="M20" s="618"/>
    </row>
    <row r="21" spans="1:13">
      <c r="A21" s="340" t="s">
        <v>3918</v>
      </c>
      <c r="B21" s="124"/>
      <c r="C21" s="118"/>
      <c r="D21" s="119"/>
      <c r="E21" s="123">
        <f>IFERROR(D21*VLOOKUP(C21,'BDD FE'!$B$33:$E$78,2,0)*10^-3,0)</f>
        <v>0</v>
      </c>
      <c r="G21" s="111"/>
      <c r="H21" s="111"/>
      <c r="I21" s="111"/>
      <c r="J21" s="125"/>
      <c r="K21" s="616"/>
      <c r="L21" s="617"/>
      <c r="M21" s="618"/>
    </row>
    <row r="22" spans="1:13">
      <c r="A22" s="340" t="s">
        <v>3436</v>
      </c>
      <c r="B22" s="124"/>
      <c r="C22" s="111"/>
      <c r="D22" s="111"/>
      <c r="E22" s="123">
        <f>SUM(E13:E21)</f>
        <v>0</v>
      </c>
      <c r="G22" s="111"/>
      <c r="H22" s="111"/>
      <c r="I22" s="111"/>
      <c r="J22" s="125"/>
      <c r="K22" s="616"/>
      <c r="L22" s="617"/>
      <c r="M22" s="618"/>
    </row>
    <row r="23" spans="1:13" ht="15" thickBot="1">
      <c r="A23" s="340" t="s">
        <v>3378</v>
      </c>
      <c r="B23" s="309"/>
      <c r="J23" s="157"/>
      <c r="K23" s="616"/>
      <c r="L23" s="617"/>
      <c r="M23" s="618"/>
    </row>
    <row r="24" spans="1:13">
      <c r="A24" s="339" t="s">
        <v>3430</v>
      </c>
      <c r="B24" s="309"/>
      <c r="J24" s="157"/>
      <c r="K24" s="324"/>
      <c r="L24" s="325"/>
      <c r="M24" s="166"/>
    </row>
    <row r="25" spans="1:13">
      <c r="A25" s="340" t="s">
        <v>3433</v>
      </c>
      <c r="B25" s="309"/>
      <c r="J25" s="157"/>
      <c r="K25" s="145"/>
      <c r="M25" s="149"/>
    </row>
    <row r="26" spans="1:13">
      <c r="A26" s="340" t="s">
        <v>3428</v>
      </c>
      <c r="B26" s="309"/>
      <c r="J26" s="157"/>
      <c r="K26" s="145"/>
      <c r="M26" s="149"/>
    </row>
    <row r="27" spans="1:13">
      <c r="A27" s="340" t="s">
        <v>11</v>
      </c>
      <c r="B27" s="309"/>
      <c r="J27" s="157"/>
      <c r="K27" s="145"/>
      <c r="M27" s="149"/>
    </row>
    <row r="28" spans="1:13" ht="15" thickBot="1">
      <c r="A28" s="340" t="s">
        <v>13</v>
      </c>
      <c r="B28" s="310"/>
      <c r="C28" s="311"/>
      <c r="D28" s="311"/>
      <c r="E28" s="311"/>
      <c r="F28" s="311"/>
      <c r="G28" s="311"/>
      <c r="H28" s="311"/>
      <c r="I28" s="311"/>
      <c r="J28" s="312"/>
      <c r="K28" s="150"/>
      <c r="L28" s="151"/>
      <c r="M28" s="152"/>
    </row>
    <row r="29" spans="1:13">
      <c r="K29" s="111"/>
    </row>
    <row r="30" spans="1:13">
      <c r="K30" s="111"/>
    </row>
    <row r="31" spans="1:13" hidden="1">
      <c r="K31" s="111"/>
    </row>
    <row r="32" spans="1:13" hidden="1">
      <c r="K32" s="111"/>
    </row>
    <row r="33" spans="11:11" hidden="1">
      <c r="K33" s="111"/>
    </row>
    <row r="34" spans="11:11" hidden="1">
      <c r="K34" s="111"/>
    </row>
    <row r="35" spans="11:11" hidden="1">
      <c r="K35" s="111"/>
    </row>
    <row r="36" spans="11:11" hidden="1">
      <c r="K36" s="111"/>
    </row>
    <row r="37" spans="11:11" hidden="1">
      <c r="K37" s="111"/>
    </row>
    <row r="38" spans="11:11" hidden="1">
      <c r="K38" s="111"/>
    </row>
    <row r="39" spans="11:11" hidden="1">
      <c r="K39" s="111"/>
    </row>
    <row r="40" spans="11:11" hidden="1">
      <c r="K40" s="111"/>
    </row>
    <row r="41" spans="11:11" hidden="1">
      <c r="K41" s="111"/>
    </row>
    <row r="42" spans="11:11" hidden="1">
      <c r="K42" s="111"/>
    </row>
    <row r="43" spans="11:11" hidden="1">
      <c r="K43" s="111"/>
    </row>
    <row r="44" spans="11:11" hidden="1">
      <c r="K44" s="111"/>
    </row>
    <row r="45" spans="11:11" hidden="1">
      <c r="K45" s="111"/>
    </row>
    <row r="46" spans="11:11" hidden="1">
      <c r="K46" s="111"/>
    </row>
  </sheetData>
  <protectedRanges>
    <protectedRange sqref="C13:D21" name="Plage1"/>
    <protectedRange sqref="K3" name="Plage1_1"/>
  </protectedRanges>
  <mergeCells count="8">
    <mergeCell ref="K17:M17"/>
    <mergeCell ref="K18:M23"/>
    <mergeCell ref="B1:J1"/>
    <mergeCell ref="K1:M1"/>
    <mergeCell ref="C4:I10"/>
    <mergeCell ref="K2:M2"/>
    <mergeCell ref="K10:M10"/>
    <mergeCell ref="F2:G2"/>
  </mergeCells>
  <hyperlinks>
    <hyperlink ref="A9" location="'1_Votre Structure'!A1" display="Votre structure" xr:uid="{D0EC33D3-4BA8-40A0-91F7-957133820624}"/>
    <hyperlink ref="A10" location="'2_ConsoEnergieEau'!A1" display="Consommation d'énergie et d'eau" xr:uid="{33BFA54F-B979-402C-A286-39CA78DCF43D}"/>
    <hyperlink ref="A11" location="'3_Climatisation'!A1" display="Climatisation" xr:uid="{907BEAA8-96F5-48C5-AD2D-D657EB9DC396}"/>
    <hyperlink ref="A15" location="'7_DéplacementsProfessionnels'!A1" display="Déplacements professionnels" xr:uid="{B4238892-3A18-42B2-824F-400FB3DFB46A}"/>
    <hyperlink ref="A16" location="'8_DéplacementsSalariés'!A1" display="Déplacements des salariés" xr:uid="{3E02494B-FFA5-46CA-95DE-56C6F267A0BC}"/>
    <hyperlink ref="A20" location="'12_Equipements'!A1" display="Equipements" xr:uid="{21B1225E-B723-4DEA-BDE8-6258B13BD91E}"/>
    <hyperlink ref="A13" location="'5_Déchets'!A1" display="Déchets" xr:uid="{BFE60897-9FAB-426C-BF13-CBA16F71DA9B}"/>
    <hyperlink ref="A25" location="'17_TransportMatériel'!A1" display="Transport de matériel et d'œuvres" xr:uid="{38B549B2-DF1C-4E46-AA42-94EB22AC6326}"/>
    <hyperlink ref="A26" location="'18_ImpressionsComPapier'!A1" display="Impression et communication papier" xr:uid="{8105AACD-0F79-4384-BD58-7166C046373D}"/>
    <hyperlink ref="A27" location="'19_ComDigitale'!A1" display="Communication digitale" xr:uid="{497CDCEF-7EB3-4C4B-8BE3-CBC1FAE4CA1B}"/>
    <hyperlink ref="A28" location="'20_Billetterie'!A1" display="Billetterie" xr:uid="{9FEF9785-1B9C-4520-BE6C-32D43837569A}"/>
    <hyperlink ref="A23" location="'15_Alimentation'!A1" display="Alimentation" xr:uid="{686CED0B-B04D-4CE9-9CD1-6CC68327CA95}"/>
    <hyperlink ref="A17" location="'9_DéplacementsVisiteurs'!A1" display="Déplacements des visiteurs" xr:uid="{DC3DD2AD-62CD-420B-AF77-B187D039E519}"/>
    <hyperlink ref="A18" location="'10_Tournées artistiques'!A1" display="Tournées artistiques" xr:uid="{350E04D9-9B1D-4030-9AE2-A375882D5212}"/>
    <hyperlink ref="A19" location="'11_Artistes invité.e.s'!A1" display="Artistes invité.e.s" xr:uid="{A746C07D-A4DC-44B1-A3BF-FBE6A4F21EC2}"/>
    <hyperlink ref="A12" location="'4_Bâtiments,travaux, agcmt'!A1" display="Bâtiments, travaux et agencements" xr:uid="{C92ACF77-E0D8-4479-8B81-0661951A6EB1}"/>
    <hyperlink ref="A21" location="'13_Achats - Documents papiers'!A1" display="Achats - Documents papiers" xr:uid="{65CB0A4E-B8DA-4702-962B-59BBA9B656C9}"/>
    <hyperlink ref="A24" location="'16_Autres achats (€)'!A1" display="Autres achats" xr:uid="{E7FA58B3-4A28-4ACB-B5B6-6EFD5826F278}"/>
    <hyperlink ref="A22" location="'14_Décors'!A1" display="Décors" xr:uid="{7D3E0432-70A9-4235-A50D-172C5716E317}"/>
    <hyperlink ref="A14" location="'6_DéplacementsPrestations'!A1" display="Déplacements de prestations" xr:uid="{55BCEE76-647B-4D43-9020-546149F5F4F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'BDD FE'!$B$33:$B$78</xm:f>
          </x14:formula1>
          <xm:sqref>C13:C21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EB65-0B31-40E0-A7CE-65F6F293907F}">
  <sheetPr>
    <tabColor theme="6" tint="0.79998168889431442"/>
  </sheetPr>
  <dimension ref="A1:P51"/>
  <sheetViews>
    <sheetView showGridLines="0" topLeftCell="A34" zoomScale="80" zoomScaleNormal="50" workbookViewId="0">
      <selection activeCell="G13" sqref="G13"/>
    </sheetView>
  </sheetViews>
  <sheetFormatPr baseColWidth="10" defaultColWidth="0" defaultRowHeight="45.65" customHeight="1"/>
  <cols>
    <col min="1" max="1" width="30.1796875" customWidth="1"/>
    <col min="2" max="8" width="16.453125" style="112" customWidth="1"/>
    <col min="9" max="9" width="12.6328125" style="112" customWidth="1"/>
    <col min="10" max="12" width="16.453125" style="112" customWidth="1"/>
    <col min="13" max="13" width="11.1796875" style="112" customWidth="1"/>
    <col min="14" max="16" width="11.1796875" customWidth="1"/>
    <col min="17" max="16384" width="11.1796875" hidden="1"/>
  </cols>
  <sheetData>
    <row r="1" spans="1:16" ht="21.25" customHeight="1" thickBot="1">
      <c r="A1" s="533" t="s">
        <v>4039</v>
      </c>
      <c r="B1" s="550" t="s">
        <v>3437</v>
      </c>
      <c r="C1" s="623"/>
      <c r="D1" s="623"/>
      <c r="E1" s="623"/>
      <c r="F1" s="623"/>
      <c r="G1" s="623"/>
      <c r="H1" s="623"/>
      <c r="I1" s="623"/>
      <c r="J1" s="623"/>
      <c r="K1" s="623"/>
      <c r="L1" s="624"/>
      <c r="M1" s="598" t="s">
        <v>3391</v>
      </c>
      <c r="N1" s="599"/>
      <c r="O1" s="600"/>
    </row>
    <row r="2" spans="1:16" ht="14.5" customHeight="1" thickBot="1">
      <c r="A2" s="342" t="s">
        <v>3359</v>
      </c>
      <c r="B2" s="133"/>
      <c r="C2" s="134"/>
      <c r="D2" s="134"/>
      <c r="F2" s="645">
        <f>H22+H43</f>
        <v>0</v>
      </c>
      <c r="G2" s="646"/>
      <c r="I2" s="134"/>
      <c r="J2" s="134"/>
      <c r="K2" s="134"/>
      <c r="L2" s="135"/>
      <c r="M2" s="610" t="s">
        <v>3457</v>
      </c>
      <c r="N2" s="611"/>
      <c r="O2" s="612"/>
    </row>
    <row r="3" spans="1:16" ht="17.5">
      <c r="A3" s="348"/>
      <c r="B3" s="124"/>
      <c r="C3" s="111"/>
      <c r="D3" s="111"/>
      <c r="F3" s="438"/>
      <c r="G3" s="413"/>
      <c r="H3" s="111"/>
      <c r="I3" s="111"/>
      <c r="J3" s="111"/>
      <c r="K3" s="111"/>
      <c r="L3" s="125"/>
      <c r="M3" s="633"/>
      <c r="N3" s="634"/>
      <c r="O3" s="635"/>
    </row>
    <row r="4" spans="1:16" ht="42" customHeight="1">
      <c r="A4" s="348"/>
      <c r="B4" s="124"/>
      <c r="C4" s="644" t="s">
        <v>3919</v>
      </c>
      <c r="D4" s="644"/>
      <c r="E4" s="644"/>
      <c r="F4" s="644"/>
      <c r="G4" s="644"/>
      <c r="H4" s="644"/>
      <c r="I4" s="644"/>
      <c r="J4" s="644"/>
      <c r="K4" s="644"/>
      <c r="L4" s="125"/>
      <c r="M4" s="633"/>
      <c r="N4" s="634"/>
      <c r="O4" s="635"/>
      <c r="P4" s="293"/>
    </row>
    <row r="5" spans="1:16" ht="27" customHeight="1">
      <c r="A5" s="348"/>
      <c r="B5" s="124"/>
      <c r="C5" s="484"/>
      <c r="D5" s="484"/>
      <c r="E5" s="484"/>
      <c r="F5" s="484"/>
      <c r="G5" s="484"/>
      <c r="H5" s="484"/>
      <c r="I5" s="484"/>
      <c r="J5" s="484"/>
      <c r="K5" s="484"/>
      <c r="L5" s="125"/>
      <c r="M5" s="633"/>
      <c r="N5" s="634"/>
      <c r="O5" s="635"/>
      <c r="P5" s="293"/>
    </row>
    <row r="6" spans="1:16" ht="21" customHeight="1">
      <c r="A6" s="341" t="s">
        <v>3357</v>
      </c>
      <c r="B6" s="124"/>
      <c r="C6" s="642" t="s">
        <v>3424</v>
      </c>
      <c r="D6" s="643"/>
      <c r="E6" s="643"/>
      <c r="F6" s="643"/>
      <c r="G6" s="643"/>
      <c r="H6" s="643"/>
      <c r="I6" s="643"/>
      <c r="J6" s="643"/>
      <c r="K6" s="643"/>
      <c r="L6" s="125"/>
      <c r="M6" s="639"/>
      <c r="N6" s="640"/>
      <c r="O6" s="641"/>
      <c r="P6" s="293"/>
    </row>
    <row r="7" spans="1:16" ht="14.4" customHeight="1">
      <c r="A7" s="339" t="s">
        <v>3434</v>
      </c>
      <c r="B7" s="124"/>
      <c r="C7" s="644" t="s">
        <v>3920</v>
      </c>
      <c r="D7" s="644"/>
      <c r="E7" s="644"/>
      <c r="F7" s="644"/>
      <c r="G7" s="644"/>
      <c r="H7" s="644"/>
      <c r="I7" s="644"/>
      <c r="J7" s="644"/>
      <c r="K7" s="644"/>
      <c r="L7" s="125"/>
      <c r="M7" s="610" t="s">
        <v>3458</v>
      </c>
      <c r="N7" s="611"/>
      <c r="O7" s="612"/>
      <c r="P7" s="293"/>
    </row>
    <row r="8" spans="1:16" ht="22.75" customHeight="1">
      <c r="A8" s="339" t="s">
        <v>7</v>
      </c>
      <c r="B8" s="124"/>
      <c r="C8" s="644"/>
      <c r="D8" s="644"/>
      <c r="E8" s="644"/>
      <c r="F8" s="644"/>
      <c r="G8" s="644"/>
      <c r="H8" s="644"/>
      <c r="I8" s="644"/>
      <c r="J8" s="644"/>
      <c r="K8" s="644"/>
      <c r="L8" s="125"/>
      <c r="M8" s="633"/>
      <c r="N8" s="634"/>
      <c r="O8" s="635"/>
      <c r="P8" s="293"/>
    </row>
    <row r="9" spans="1:16" ht="14.5">
      <c r="A9" s="339" t="s">
        <v>3427</v>
      </c>
      <c r="B9" s="124"/>
      <c r="C9" s="644"/>
      <c r="D9" s="644"/>
      <c r="E9" s="644"/>
      <c r="F9" s="644"/>
      <c r="G9" s="644"/>
      <c r="H9" s="644"/>
      <c r="I9" s="644"/>
      <c r="J9" s="644"/>
      <c r="K9" s="644"/>
      <c r="L9" s="125"/>
      <c r="M9" s="633"/>
      <c r="N9" s="634"/>
      <c r="O9" s="635"/>
      <c r="P9" s="293"/>
    </row>
    <row r="10" spans="1:16" ht="14.5">
      <c r="A10" s="340" t="s">
        <v>10</v>
      </c>
      <c r="B10" s="124"/>
      <c r="C10" s="447"/>
      <c r="D10" s="447"/>
      <c r="E10" s="447"/>
      <c r="F10" s="447"/>
      <c r="G10" s="447"/>
      <c r="H10" s="447"/>
      <c r="I10" s="447"/>
      <c r="J10" s="447"/>
      <c r="K10" s="447"/>
      <c r="L10" s="125"/>
      <c r="M10" s="633"/>
      <c r="N10" s="634"/>
      <c r="O10" s="635"/>
      <c r="P10" s="293"/>
    </row>
    <row r="11" spans="1:16" ht="14.5">
      <c r="A11" s="340" t="s">
        <v>3645</v>
      </c>
      <c r="B11" s="124"/>
      <c r="C11" s="111"/>
      <c r="D11" s="329"/>
      <c r="E11" s="111"/>
      <c r="F11" s="111"/>
      <c r="G11" s="111"/>
      <c r="H11" s="111"/>
      <c r="I11" s="300"/>
      <c r="J11" s="300"/>
      <c r="K11" s="300"/>
      <c r="L11" s="125"/>
      <c r="M11" s="633"/>
      <c r="N11" s="634"/>
      <c r="O11" s="635"/>
      <c r="P11" s="293"/>
    </row>
    <row r="12" spans="1:16" ht="26">
      <c r="A12" s="339" t="s">
        <v>3431</v>
      </c>
      <c r="B12" s="127"/>
      <c r="C12" s="289" t="s">
        <v>3416</v>
      </c>
      <c r="D12" s="397" t="s">
        <v>3951</v>
      </c>
      <c r="E12" s="544" t="s">
        <v>4073</v>
      </c>
      <c r="F12" s="289" t="s">
        <v>3417</v>
      </c>
      <c r="G12" s="544" t="s">
        <v>4075</v>
      </c>
      <c r="H12" s="117" t="s">
        <v>80</v>
      </c>
      <c r="I12" s="300"/>
      <c r="J12" s="130"/>
      <c r="K12" s="117" t="s">
        <v>99</v>
      </c>
      <c r="L12" s="125"/>
      <c r="M12" s="633"/>
      <c r="N12" s="634"/>
      <c r="O12" s="635"/>
      <c r="P12" s="293"/>
    </row>
    <row r="13" spans="1:16" ht="50">
      <c r="A13" s="340" t="s">
        <v>5</v>
      </c>
      <c r="B13" s="127"/>
      <c r="C13" s="164"/>
      <c r="D13" s="164"/>
      <c r="E13" s="164"/>
      <c r="F13" s="164"/>
      <c r="G13" s="164"/>
      <c r="H13" s="132">
        <f>IFERROR(IF(('1_Votre Structure'!$E$6)-(G13)&lt;=$K$13,F13*'BDD FE'!$C$467*10^-3,0),0)</f>
        <v>0</v>
      </c>
      <c r="I13" s="300"/>
      <c r="J13" s="303" t="s">
        <v>97</v>
      </c>
      <c r="K13" s="353">
        <v>50</v>
      </c>
      <c r="L13" s="125"/>
      <c r="M13" s="633"/>
      <c r="N13" s="634"/>
      <c r="O13" s="635"/>
      <c r="P13" s="293"/>
    </row>
    <row r="14" spans="1:16" ht="14.5">
      <c r="A14" s="339" t="s">
        <v>6</v>
      </c>
      <c r="B14" s="127"/>
      <c r="C14" s="164"/>
      <c r="D14" s="164"/>
      <c r="E14" s="164"/>
      <c r="F14" s="164"/>
      <c r="G14" s="164"/>
      <c r="H14" s="132">
        <f>IFERROR(IF(('1_Votre Structure'!$E$6)-(G14)&lt;=$K$13,F14*'BDD FE'!$C$467*10^-3,0),0)</f>
        <v>0</v>
      </c>
      <c r="I14" s="300"/>
      <c r="J14" s="300"/>
      <c r="K14" s="300"/>
      <c r="L14" s="125"/>
      <c r="M14" s="633"/>
      <c r="N14" s="634"/>
      <c r="O14" s="635"/>
      <c r="P14" s="293"/>
    </row>
    <row r="15" spans="1:16" ht="14.5">
      <c r="A15" s="340" t="s">
        <v>12</v>
      </c>
      <c r="B15" s="127"/>
      <c r="C15" s="164"/>
      <c r="D15" s="164"/>
      <c r="E15" s="164"/>
      <c r="F15" s="164"/>
      <c r="G15" s="164"/>
      <c r="H15" s="132">
        <f>IFERROR(IF(('1_Votre Structure'!$E$6)-(G15)&lt;=$K$13,F15*'BDD FE'!$C$467*10^-3,0),0)</f>
        <v>0</v>
      </c>
      <c r="I15" s="300"/>
      <c r="J15" s="300"/>
      <c r="K15" s="300"/>
      <c r="L15" s="354"/>
      <c r="M15" s="633"/>
      <c r="N15" s="634"/>
      <c r="O15" s="635"/>
    </row>
    <row r="16" spans="1:16" ht="14.5">
      <c r="A16" s="340" t="s">
        <v>14</v>
      </c>
      <c r="B16" s="127"/>
      <c r="C16" s="164"/>
      <c r="D16" s="164"/>
      <c r="E16" s="164"/>
      <c r="F16" s="164"/>
      <c r="G16" s="164"/>
      <c r="H16" s="132">
        <f>IFERROR(IF(('1_Votre Structure'!$E$6)-(G16)&lt;=$K$13,F16*'BDD FE'!$C$467*10^-3,0),0)</f>
        <v>0</v>
      </c>
      <c r="I16" s="300"/>
      <c r="J16" s="300"/>
      <c r="K16" s="300"/>
      <c r="L16" s="125"/>
      <c r="M16" s="633"/>
      <c r="N16" s="634"/>
      <c r="O16" s="635"/>
    </row>
    <row r="17" spans="1:15" ht="14.5">
      <c r="A17" s="339" t="s">
        <v>3426</v>
      </c>
      <c r="B17" s="127"/>
      <c r="C17" s="164"/>
      <c r="D17" s="164"/>
      <c r="E17" s="164"/>
      <c r="F17" s="164"/>
      <c r="G17" s="164"/>
      <c r="H17" s="132">
        <f>IFERROR(IF(('1_Votre Structure'!$E$6)-(G17)&lt;=$K$13,F17*'BDD FE'!$C$467*10^-3,0),0)</f>
        <v>0</v>
      </c>
      <c r="I17" s="300"/>
      <c r="J17" s="300"/>
      <c r="K17" s="300"/>
      <c r="L17" s="125"/>
      <c r="M17" s="633"/>
      <c r="N17" s="634"/>
      <c r="O17" s="635"/>
    </row>
    <row r="18" spans="1:15" ht="14.5">
      <c r="A18" s="340" t="s">
        <v>3918</v>
      </c>
      <c r="B18" s="127"/>
      <c r="C18" s="164"/>
      <c r="D18" s="164"/>
      <c r="E18" s="164"/>
      <c r="F18" s="164"/>
      <c r="G18" s="164"/>
      <c r="H18" s="132">
        <f>IFERROR(IF(('1_Votre Structure'!$E$6)-(G18)&lt;=$K$13,F18*'BDD FE'!$C$467*10^-3,0),0)</f>
        <v>0</v>
      </c>
      <c r="I18" s="300"/>
      <c r="J18" s="300"/>
      <c r="K18" s="300"/>
      <c r="L18" s="125"/>
      <c r="M18" s="633"/>
      <c r="N18" s="634"/>
      <c r="O18" s="635"/>
    </row>
    <row r="19" spans="1:15" ht="14.5">
      <c r="A19" s="340" t="s">
        <v>3436</v>
      </c>
      <c r="B19" s="127"/>
      <c r="C19" s="164"/>
      <c r="D19" s="164"/>
      <c r="E19" s="164"/>
      <c r="F19" s="164"/>
      <c r="G19" s="164"/>
      <c r="H19" s="132">
        <f>IFERROR(IF(('1_Votre Structure'!$E$6)-(G19)&lt;=$K$13,F19*'BDD FE'!$C$467*10^-3,0),0)</f>
        <v>0</v>
      </c>
      <c r="I19" s="300"/>
      <c r="J19" s="300"/>
      <c r="K19" s="300"/>
      <c r="L19" s="125"/>
      <c r="M19" s="633"/>
      <c r="N19" s="634"/>
      <c r="O19" s="635"/>
    </row>
    <row r="20" spans="1:15" ht="14.5">
      <c r="A20" s="340" t="s">
        <v>3378</v>
      </c>
      <c r="B20" s="127"/>
      <c r="C20" s="164"/>
      <c r="D20" s="164"/>
      <c r="E20" s="164"/>
      <c r="F20" s="164"/>
      <c r="G20" s="164"/>
      <c r="H20" s="132">
        <f>IFERROR(IF(('1_Votre Structure'!$E$6)-(G20)&lt;=$K$13,F20*'BDD FE'!$C$467*10^-3,0),0)</f>
        <v>0</v>
      </c>
      <c r="I20" s="300"/>
      <c r="J20" s="300"/>
      <c r="K20" s="300"/>
      <c r="L20" s="125"/>
      <c r="M20" s="633"/>
      <c r="N20" s="634"/>
      <c r="O20" s="635"/>
    </row>
    <row r="21" spans="1:15" ht="14.5">
      <c r="A21" s="339" t="s">
        <v>3430</v>
      </c>
      <c r="B21" s="127"/>
      <c r="C21" s="164"/>
      <c r="D21" s="164"/>
      <c r="E21" s="164"/>
      <c r="F21" s="164"/>
      <c r="G21" s="164"/>
      <c r="H21" s="132">
        <f>IFERROR(IF(('1_Votre Structure'!$E$6)-(G21)&lt;=$K$13,F21*'BDD FE'!$C$467*10^-3,0),0)</f>
        <v>0</v>
      </c>
      <c r="I21" s="300"/>
      <c r="J21" s="300"/>
      <c r="K21" s="300"/>
      <c r="L21" s="125"/>
      <c r="M21" s="639"/>
      <c r="N21" s="640"/>
      <c r="O21" s="641"/>
    </row>
    <row r="22" spans="1:15" ht="22.25" customHeight="1">
      <c r="A22" s="340" t="s">
        <v>3433</v>
      </c>
      <c r="B22" s="127"/>
      <c r="H22" s="139">
        <f>SUM(H13:H21)</f>
        <v>0</v>
      </c>
      <c r="I22" s="300"/>
      <c r="J22" s="300"/>
      <c r="K22" s="300"/>
      <c r="L22" s="125"/>
      <c r="M22" s="613" t="s">
        <v>3459</v>
      </c>
      <c r="N22" s="614"/>
      <c r="O22" s="615"/>
    </row>
    <row r="23" spans="1:15" ht="22.25" customHeight="1">
      <c r="A23" s="340" t="s">
        <v>3428</v>
      </c>
      <c r="B23" s="124"/>
      <c r="C23" s="111"/>
      <c r="D23" s="111"/>
      <c r="E23" s="111"/>
      <c r="F23" s="111"/>
      <c r="G23" s="111"/>
      <c r="H23" s="111"/>
      <c r="I23" s="300"/>
      <c r="J23" s="111"/>
      <c r="K23" s="111"/>
      <c r="L23" s="125"/>
      <c r="M23" s="633"/>
      <c r="N23" s="634"/>
      <c r="O23" s="635"/>
    </row>
    <row r="24" spans="1:15" ht="22.25" customHeight="1">
      <c r="A24" s="340" t="s">
        <v>11</v>
      </c>
      <c r="B24" s="124"/>
      <c r="C24" s="111"/>
      <c r="D24" s="111"/>
      <c r="E24" s="111"/>
      <c r="F24" s="111"/>
      <c r="G24" s="111"/>
      <c r="H24" s="111"/>
      <c r="I24" s="111"/>
      <c r="J24" s="111"/>
      <c r="K24" s="111"/>
      <c r="L24" s="125"/>
      <c r="M24" s="633"/>
      <c r="N24" s="634"/>
      <c r="O24" s="635"/>
    </row>
    <row r="25" spans="1:15" ht="14.5">
      <c r="A25" s="340" t="s">
        <v>13</v>
      </c>
      <c r="B25" s="124"/>
      <c r="C25" s="642" t="s">
        <v>3435</v>
      </c>
      <c r="D25" s="643"/>
      <c r="E25" s="643"/>
      <c r="F25" s="643"/>
      <c r="G25" s="643"/>
      <c r="H25" s="643"/>
      <c r="I25" s="643"/>
      <c r="J25" s="643"/>
      <c r="K25" s="643"/>
      <c r="L25" s="125"/>
      <c r="M25" s="633"/>
      <c r="N25" s="634"/>
      <c r="O25" s="635"/>
    </row>
    <row r="26" spans="1:15" ht="42" customHeight="1">
      <c r="B26" s="124"/>
      <c r="C26" s="586" t="s">
        <v>4056</v>
      </c>
      <c r="D26" s="644"/>
      <c r="E26" s="644"/>
      <c r="F26" s="644"/>
      <c r="G26" s="644"/>
      <c r="H26" s="644"/>
      <c r="I26" s="644"/>
      <c r="J26" s="644"/>
      <c r="K26" s="644"/>
      <c r="L26" s="125"/>
      <c r="M26" s="633"/>
      <c r="N26" s="634"/>
      <c r="O26" s="635"/>
    </row>
    <row r="27" spans="1:15" ht="14.5">
      <c r="B27" s="124"/>
      <c r="C27" s="644"/>
      <c r="D27" s="644"/>
      <c r="E27" s="644"/>
      <c r="F27" s="644"/>
      <c r="G27" s="644"/>
      <c r="H27" s="644"/>
      <c r="I27" s="644"/>
      <c r="J27" s="644"/>
      <c r="K27" s="644"/>
      <c r="L27" s="125"/>
      <c r="M27" s="633"/>
      <c r="N27" s="634"/>
      <c r="O27" s="635"/>
    </row>
    <row r="28" spans="1:15" ht="14.5">
      <c r="B28" s="124"/>
      <c r="C28" s="644"/>
      <c r="D28" s="644"/>
      <c r="E28" s="644"/>
      <c r="F28" s="644"/>
      <c r="G28" s="644"/>
      <c r="H28" s="644"/>
      <c r="I28" s="644"/>
      <c r="J28" s="644"/>
      <c r="K28" s="644"/>
      <c r="L28" s="125"/>
      <c r="M28" s="633"/>
      <c r="N28" s="634"/>
      <c r="O28" s="635"/>
    </row>
    <row r="29" spans="1:15" ht="14.5">
      <c r="B29" s="124"/>
      <c r="C29" s="644"/>
      <c r="D29" s="644"/>
      <c r="E29" s="644"/>
      <c r="F29" s="644"/>
      <c r="G29" s="644"/>
      <c r="H29" s="644"/>
      <c r="I29" s="644"/>
      <c r="J29" s="644"/>
      <c r="K29" s="644"/>
      <c r="L29" s="125"/>
      <c r="M29" s="633"/>
      <c r="N29" s="634"/>
      <c r="O29" s="635"/>
    </row>
    <row r="30" spans="1:15" ht="14.5">
      <c r="B30" s="124"/>
      <c r="C30" s="644"/>
      <c r="D30" s="644"/>
      <c r="E30" s="644"/>
      <c r="F30" s="644"/>
      <c r="G30" s="644"/>
      <c r="H30" s="644"/>
      <c r="I30" s="644"/>
      <c r="J30" s="644"/>
      <c r="K30" s="644"/>
      <c r="L30" s="125"/>
      <c r="M30" s="633"/>
      <c r="N30" s="634"/>
      <c r="O30" s="635"/>
    </row>
    <row r="31" spans="1:15" ht="14.5">
      <c r="B31" s="124"/>
      <c r="C31" s="447"/>
      <c r="D31" s="447"/>
      <c r="E31" s="447"/>
      <c r="F31" s="447"/>
      <c r="G31" s="447"/>
      <c r="H31" s="447"/>
      <c r="I31" s="447"/>
      <c r="J31" s="447"/>
      <c r="K31" s="447"/>
      <c r="L31" s="125"/>
      <c r="M31" s="633"/>
      <c r="N31" s="634"/>
      <c r="O31" s="635"/>
    </row>
    <row r="32" spans="1:15" ht="14.5">
      <c r="B32" s="124"/>
      <c r="C32" s="111"/>
      <c r="D32" s="329" t="s">
        <v>3456</v>
      </c>
      <c r="E32" s="111"/>
      <c r="F32" s="111"/>
      <c r="G32" s="111"/>
      <c r="H32" s="111"/>
      <c r="I32" s="300"/>
      <c r="J32" s="300"/>
      <c r="K32" s="300"/>
      <c r="L32" s="125"/>
      <c r="M32" s="633"/>
      <c r="N32" s="634"/>
      <c r="O32" s="635"/>
    </row>
    <row r="33" spans="2:15" ht="25">
      <c r="B33" s="124"/>
      <c r="C33" s="289" t="s">
        <v>3416</v>
      </c>
      <c r="D33" s="289" t="s">
        <v>3455</v>
      </c>
      <c r="E33" s="544" t="s">
        <v>4073</v>
      </c>
      <c r="F33" s="289" t="s">
        <v>3423</v>
      </c>
      <c r="G33" s="397" t="s">
        <v>3742</v>
      </c>
      <c r="H33" s="117" t="s">
        <v>80</v>
      </c>
      <c r="I33" s="300"/>
      <c r="J33" s="130"/>
      <c r="K33" s="117" t="s">
        <v>99</v>
      </c>
      <c r="L33" s="125"/>
      <c r="M33" s="633"/>
      <c r="N33" s="634"/>
      <c r="O33" s="635"/>
    </row>
    <row r="34" spans="2:15" ht="50.5" thickBot="1">
      <c r="B34" s="124"/>
      <c r="C34" s="164"/>
      <c r="D34" s="164"/>
      <c r="E34" s="164"/>
      <c r="F34" s="164"/>
      <c r="G34" s="164"/>
      <c r="H34" s="132">
        <f>IFERROR(IF(('1_Votre Structure'!$E$6)-(G34)&lt;=$K$34,F34*10^-3*'BDD FE'!$C$468*10^-3,0),0)</f>
        <v>0</v>
      </c>
      <c r="I34" s="300"/>
      <c r="J34" s="303" t="s">
        <v>97</v>
      </c>
      <c r="K34" s="353">
        <v>10</v>
      </c>
      <c r="L34" s="125"/>
      <c r="M34" s="636"/>
      <c r="N34" s="637"/>
      <c r="O34" s="638"/>
    </row>
    <row r="35" spans="2:15" ht="14.5">
      <c r="B35" s="124"/>
      <c r="C35" s="164"/>
      <c r="D35" s="164"/>
      <c r="E35" s="164"/>
      <c r="F35" s="164"/>
      <c r="G35" s="164"/>
      <c r="H35" s="132">
        <f>IFERROR(IF(('1_Votre Structure'!$E$6)-(G35)&lt;=$K$34,F35*10^-3*'BDD FE'!$C$468*10^-3,0),0)</f>
        <v>0</v>
      </c>
      <c r="I35" s="300"/>
      <c r="J35" s="300"/>
      <c r="K35" s="300"/>
      <c r="L35" s="125"/>
      <c r="M35" s="324"/>
      <c r="N35" s="325"/>
      <c r="O35" s="166"/>
    </row>
    <row r="36" spans="2:15" ht="14.5">
      <c r="B36" s="124"/>
      <c r="C36" s="164"/>
      <c r="D36" s="164"/>
      <c r="E36" s="164"/>
      <c r="F36" s="164"/>
      <c r="G36" s="164"/>
      <c r="H36" s="132">
        <f>IFERROR(IF(('1_Votre Structure'!$E$6)-(G36)&lt;=$K$34,F36*10^-3*'BDD FE'!$C$468*10^-3,0),0)</f>
        <v>0</v>
      </c>
      <c r="I36" s="300"/>
      <c r="J36" s="300"/>
      <c r="K36" s="300"/>
      <c r="L36" s="125"/>
      <c r="M36" s="145"/>
      <c r="O36" s="149"/>
    </row>
    <row r="37" spans="2:15" ht="14.5">
      <c r="B37" s="124"/>
      <c r="C37" s="164"/>
      <c r="D37" s="164"/>
      <c r="E37" s="164"/>
      <c r="F37" s="164"/>
      <c r="G37" s="164"/>
      <c r="H37" s="132">
        <f>IFERROR(IF(('1_Votre Structure'!$E$6)-(G37)&lt;=$K$34,F37*10^-3*'BDD FE'!$C$468*10^-3,0),0)</f>
        <v>0</v>
      </c>
      <c r="I37" s="300"/>
      <c r="J37" s="300"/>
      <c r="K37" s="300"/>
      <c r="L37" s="125"/>
      <c r="M37" s="145"/>
      <c r="O37" s="149"/>
    </row>
    <row r="38" spans="2:15" ht="14.5">
      <c r="B38" s="124"/>
      <c r="C38" s="164"/>
      <c r="D38" s="164"/>
      <c r="E38" s="164"/>
      <c r="F38" s="164"/>
      <c r="G38" s="164"/>
      <c r="H38" s="132">
        <f>IFERROR(IF(('1_Votre Structure'!$E$6)-(G38)&lt;=$K$34,F38*10^-3*'BDD FE'!$C$468*10^-3,0),0)</f>
        <v>0</v>
      </c>
      <c r="I38" s="300"/>
      <c r="J38" s="300"/>
      <c r="K38" s="300"/>
      <c r="L38" s="125"/>
      <c r="M38" s="145"/>
      <c r="O38" s="149"/>
    </row>
    <row r="39" spans="2:15" ht="15" thickBot="1">
      <c r="B39" s="124"/>
      <c r="C39" s="164"/>
      <c r="D39" s="164"/>
      <c r="E39" s="164"/>
      <c r="F39" s="164"/>
      <c r="G39" s="164"/>
      <c r="H39" s="132">
        <f>IFERROR(IF(('1_Votre Structure'!$E$6)-(G39)&lt;=$K$34,F39*10^-3*'BDD FE'!$C$468*10^-3,0),0)</f>
        <v>0</v>
      </c>
      <c r="I39" s="300"/>
      <c r="J39" s="300"/>
      <c r="K39" s="300"/>
      <c r="L39" s="125"/>
      <c r="M39" s="150"/>
      <c r="N39" s="151"/>
      <c r="O39" s="152"/>
    </row>
    <row r="40" spans="2:15" ht="13.25" customHeight="1">
      <c r="B40" s="124"/>
      <c r="C40" s="164"/>
      <c r="D40" s="164"/>
      <c r="E40" s="164"/>
      <c r="F40" s="164"/>
      <c r="G40" s="164"/>
      <c r="H40" s="132">
        <f>IFERROR(IF(('1_Votre Structure'!$E$6)-(G40)&lt;=$K$34,F40*10^-3*'BDD FE'!$C$468*10^-3,0),0)</f>
        <v>0</v>
      </c>
      <c r="I40" s="300"/>
      <c r="J40" s="300"/>
      <c r="K40" s="300"/>
      <c r="L40" s="125"/>
      <c r="M40" s="111"/>
    </row>
    <row r="41" spans="2:15" ht="13.25" customHeight="1">
      <c r="B41" s="124"/>
      <c r="C41" s="164"/>
      <c r="D41" s="164"/>
      <c r="E41" s="164"/>
      <c r="F41" s="164"/>
      <c r="G41" s="164"/>
      <c r="H41" s="132">
        <f>IFERROR(IF(('1_Votre Structure'!$E$6)-(G41)&lt;=$K$34,F41*10^-3*'BDD FE'!$C$468*10^-3,0),0)</f>
        <v>0</v>
      </c>
      <c r="I41" s="300"/>
      <c r="J41" s="300"/>
      <c r="K41" s="300"/>
      <c r="L41" s="125"/>
      <c r="M41" s="111"/>
    </row>
    <row r="42" spans="2:15" ht="13.25" customHeight="1">
      <c r="B42" s="124"/>
      <c r="C42" s="164"/>
      <c r="D42" s="164"/>
      <c r="E42" s="164"/>
      <c r="F42" s="164"/>
      <c r="G42" s="164"/>
      <c r="H42" s="132">
        <f>IFERROR(IF(('1_Votre Structure'!$E$6)-(G42)&lt;=$K$34,F42*10^-3*'BDD FE'!$C$468*10^-3,0),0)</f>
        <v>0</v>
      </c>
      <c r="I42" s="300"/>
      <c r="J42" s="300"/>
      <c r="K42" s="300"/>
      <c r="L42" s="125"/>
      <c r="M42" s="111"/>
    </row>
    <row r="43" spans="2:15" ht="13.25" customHeight="1">
      <c r="B43" s="124"/>
      <c r="H43" s="139">
        <f>SUM(H34:H42)</f>
        <v>0</v>
      </c>
      <c r="I43" s="300"/>
      <c r="J43" s="300"/>
      <c r="K43" s="300"/>
      <c r="L43" s="125"/>
      <c r="M43" s="111"/>
    </row>
    <row r="44" spans="2:15" ht="13.25" customHeight="1">
      <c r="B44" s="124"/>
      <c r="C44" s="111"/>
      <c r="D44" s="111"/>
      <c r="E44" s="111"/>
      <c r="F44" s="111"/>
      <c r="G44" s="111"/>
      <c r="H44" s="111"/>
      <c r="I44" s="111"/>
      <c r="J44" s="111"/>
      <c r="K44" s="111"/>
      <c r="L44" s="125"/>
    </row>
    <row r="45" spans="2:15" ht="13.25" customHeight="1">
      <c r="B45" s="124"/>
      <c r="C45" s="111"/>
      <c r="D45" s="111"/>
      <c r="E45" s="111"/>
      <c r="F45" s="111"/>
      <c r="G45" s="111"/>
      <c r="H45" s="111"/>
      <c r="I45" s="111"/>
      <c r="J45" s="111"/>
      <c r="K45" s="111"/>
      <c r="L45" s="125"/>
    </row>
    <row r="46" spans="2:15" ht="13.25" customHeight="1" thickBot="1">
      <c r="B46" s="136"/>
      <c r="C46" s="137"/>
      <c r="D46" s="137"/>
      <c r="E46" s="137"/>
      <c r="F46" s="137"/>
      <c r="G46" s="137"/>
      <c r="H46" s="137"/>
      <c r="I46" s="137"/>
      <c r="J46" s="137"/>
      <c r="K46" s="137"/>
      <c r="L46" s="138"/>
    </row>
    <row r="47" spans="2:15" ht="13.25" customHeight="1"/>
    <row r="48" spans="2:15" ht="13.25" customHeight="1"/>
    <row r="49" ht="13.25" customHeight="1"/>
    <row r="50" ht="13.25" customHeight="1"/>
    <row r="51" ht="13.25" customHeight="1"/>
  </sheetData>
  <protectedRanges>
    <protectedRange sqref="C34:D42 F34:F42 C13:D21 F13:F21" name="Plage1_1"/>
    <protectedRange sqref="M3" name="Plage1_1_1"/>
    <protectedRange sqref="K13 K34" name="Plage1"/>
    <protectedRange sqref="G34:G42 E34:E42 E13:E21 G13:G21" name="Plage1_2"/>
  </protectedRanges>
  <mergeCells count="14">
    <mergeCell ref="B1:L1"/>
    <mergeCell ref="M1:O1"/>
    <mergeCell ref="M23:O34"/>
    <mergeCell ref="M2:O2"/>
    <mergeCell ref="M7:O7"/>
    <mergeCell ref="M22:O22"/>
    <mergeCell ref="M8:O21"/>
    <mergeCell ref="C6:K6"/>
    <mergeCell ref="C25:K25"/>
    <mergeCell ref="M3:O6"/>
    <mergeCell ref="C4:K4"/>
    <mergeCell ref="C7:K9"/>
    <mergeCell ref="C26:K30"/>
    <mergeCell ref="F2:G2"/>
  </mergeCells>
  <dataValidations count="2">
    <dataValidation allowBlank="1" showInputMessage="1" showErrorMessage="1" prompt="ATTENTION : Si vous n'avez pas précisé la date de référence de votre bilan dans l'onglet &quot;Votre structure&quot;, l'amortissement de votre matériel ne s'appliquera pas" sqref="J13 J34" xr:uid="{0ACA7738-41D6-4FFA-957F-94C07D47BED1}"/>
    <dataValidation type="whole" allowBlank="1" showInputMessage="1" showErrorMessage="1" sqref="G34:G42 E34:E42 G13:G21 E13:E21" xr:uid="{60179D0B-2694-447A-A4A1-7ACCF9A83E95}">
      <formula1>1900</formula1>
      <formula2>YEAR(TODAY())</formula2>
    </dataValidation>
  </dataValidations>
  <hyperlinks>
    <hyperlink ref="A6" location="'1_Votre Structure'!A1" display="Votre structure" xr:uid="{8D46B054-BE37-473F-B49C-170FA42B2CBF}"/>
    <hyperlink ref="A7" location="'2_ConsoEnergieEau'!A1" display="Consommation d'énergie et d'eau" xr:uid="{04EF32DD-E2F8-42EE-B5C5-829151F6E406}"/>
    <hyperlink ref="A8" location="'3_Climatisation'!A1" display="Climatisation" xr:uid="{BA29BBDE-0850-460A-BC65-A5D8ACBE9865}"/>
    <hyperlink ref="A12" location="'7_DéplacementsProfessionnels'!A1" display="Déplacements professionnels" xr:uid="{B42BD942-2EE7-4392-92CE-07AC25BEE316}"/>
    <hyperlink ref="A13" location="'8_DéplacementsSalariés'!A1" display="Déplacements des salariés" xr:uid="{91A85178-9B5F-4DEA-918E-B57A007B3120}"/>
    <hyperlink ref="A17" location="'12_Equipements'!A1" display="Equipements" xr:uid="{F8686ACE-82AD-46F7-A490-980A7D7A9F45}"/>
    <hyperlink ref="A10" location="'5_Déchets'!A1" display="Déchets" xr:uid="{4705F19B-EEDB-4DA5-AF90-8B943B9CA404}"/>
    <hyperlink ref="A22" location="'17_TransportMatériel'!A1" display="Transport de matériel et d'œuvres" xr:uid="{AAB42671-D3A4-404D-A437-16766C2BCE19}"/>
    <hyperlink ref="A23" location="'18_ImpressionsComPapier'!A1" display="Impression et communication papier" xr:uid="{3C062528-FEB0-443B-8EB9-35CD1CBE7EF0}"/>
    <hyperlink ref="A24" location="'19_ComDigitale'!A1" display="Communication digitale" xr:uid="{AE9279EB-838C-4D63-8393-0E432EB4683D}"/>
    <hyperlink ref="A25" location="'20_Billetterie'!A1" display="Billetterie" xr:uid="{69AA3B0F-AA62-49C4-8A98-A68CEFACFC87}"/>
    <hyperlink ref="A20" location="'15_Alimentation'!A1" display="Alimentation" xr:uid="{BE644543-7270-47C6-BDD8-EE0064870CD4}"/>
    <hyperlink ref="A14" location="'9_DéplacementsVisiteurs'!A1" display="Déplacements des visiteurs" xr:uid="{5EA8EB62-0657-47B3-875D-FA076E2F3FDF}"/>
    <hyperlink ref="A15" location="'10_Tournées artistiques'!A1" display="Tournées artistiques" xr:uid="{969A1CD9-A2D3-4038-9C32-B69DA7FFA35C}"/>
    <hyperlink ref="A16" location="'11_Artistes invité.e.s'!A1" display="Artistes invité.e.s" xr:uid="{B91A2303-A463-430E-9B7D-A14F0A1487C9}"/>
    <hyperlink ref="A9" location="'4_Bâtiments,travaux, agcmt'!A1" display="Bâtiments, travaux et agencements" xr:uid="{7815E9DD-087A-4675-8635-ECE6D8C02A2C}"/>
    <hyperlink ref="A18" location="'13_Achats - Documents papiers'!A1" display="Achats - Documents papiers" xr:uid="{8FAC9199-6738-41C8-AE39-8C8E88AC0C92}"/>
    <hyperlink ref="A21" location="'16_Autres achats (€)'!A1" display="Autres achats" xr:uid="{68239A74-B923-48AF-9651-EE8879000C79}"/>
    <hyperlink ref="A19" location="'14_Décors'!A1" display="Décors" xr:uid="{5C93E924-9E0C-4149-B19B-B4FDFF5B4F24}"/>
    <hyperlink ref="A11" location="'6_DéplacementsPrestations'!A1" display="Déplacements de prestations" xr:uid="{E62B1488-BB3F-4180-B78B-5DB960224886}"/>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S41"/>
  <sheetViews>
    <sheetView showGridLines="0" topLeftCell="A13" zoomScale="81" zoomScaleNormal="85" workbookViewId="0">
      <selection activeCell="C4" sqref="C4:K9"/>
    </sheetView>
  </sheetViews>
  <sheetFormatPr baseColWidth="10" defaultColWidth="0" defaultRowHeight="14.5" zeroHeight="1"/>
  <cols>
    <col min="1" max="1" width="25.81640625" bestFit="1" customWidth="1"/>
    <col min="2" max="2" width="15.90625" customWidth="1"/>
    <col min="3" max="11" width="17.90625" customWidth="1"/>
    <col min="12" max="12" width="15.90625" customWidth="1"/>
    <col min="13" max="13" width="11.1796875" style="112" customWidth="1"/>
    <col min="14" max="15" width="11.1796875" customWidth="1"/>
    <col min="16" max="16" width="6.1796875" customWidth="1"/>
    <col min="17" max="19" width="0" hidden="1" customWidth="1"/>
    <col min="20" max="16384" width="11.1796875" hidden="1"/>
  </cols>
  <sheetData>
    <row r="1" spans="1:15" ht="21.25" customHeight="1" thickBot="1">
      <c r="A1" s="647" t="s">
        <v>3359</v>
      </c>
      <c r="B1" s="649" t="s">
        <v>3438</v>
      </c>
      <c r="C1" s="572"/>
      <c r="D1" s="572"/>
      <c r="E1" s="572"/>
      <c r="F1" s="572"/>
      <c r="G1" s="572"/>
      <c r="H1" s="572"/>
      <c r="I1" s="572"/>
      <c r="J1" s="572"/>
      <c r="K1" s="572"/>
      <c r="L1" s="573"/>
      <c r="M1" s="598" t="s">
        <v>3391</v>
      </c>
      <c r="N1" s="599"/>
      <c r="O1" s="600"/>
    </row>
    <row r="2" spans="1:15" ht="18" thickBot="1">
      <c r="A2" s="648"/>
      <c r="B2" s="145"/>
      <c r="C2" s="146"/>
      <c r="D2" s="146"/>
      <c r="G2" s="504">
        <f>SUM(K30)</f>
        <v>0</v>
      </c>
      <c r="H2" s="146"/>
      <c r="I2" s="146"/>
      <c r="J2" s="146"/>
      <c r="K2" s="146"/>
      <c r="L2" s="149"/>
      <c r="M2" s="610" t="s">
        <v>3457</v>
      </c>
      <c r="N2" s="611"/>
      <c r="O2" s="612"/>
    </row>
    <row r="3" spans="1:15">
      <c r="A3" s="338"/>
      <c r="B3" s="127"/>
      <c r="C3" s="111"/>
      <c r="D3" s="111"/>
      <c r="E3" s="111"/>
      <c r="F3" s="111"/>
      <c r="G3" s="111"/>
      <c r="H3" s="111"/>
      <c r="I3" s="111"/>
      <c r="J3" s="111"/>
      <c r="K3" s="111"/>
      <c r="L3" s="126"/>
      <c r="M3" s="633"/>
      <c r="N3" s="634"/>
      <c r="O3" s="635"/>
    </row>
    <row r="4" spans="1:15" ht="14.4" customHeight="1">
      <c r="A4" s="338"/>
      <c r="B4" s="127"/>
      <c r="C4" s="586" t="s">
        <v>4057</v>
      </c>
      <c r="D4" s="629"/>
      <c r="E4" s="629"/>
      <c r="F4" s="629"/>
      <c r="G4" s="629"/>
      <c r="H4" s="629"/>
      <c r="I4" s="629"/>
      <c r="J4" s="629"/>
      <c r="K4" s="629"/>
      <c r="L4" s="126"/>
      <c r="M4" s="633"/>
      <c r="N4" s="634"/>
      <c r="O4" s="635"/>
    </row>
    <row r="5" spans="1:15">
      <c r="A5" s="338"/>
      <c r="B5" s="127"/>
      <c r="C5" s="629"/>
      <c r="D5" s="629"/>
      <c r="E5" s="629"/>
      <c r="F5" s="629"/>
      <c r="G5" s="629"/>
      <c r="H5" s="629"/>
      <c r="I5" s="629"/>
      <c r="J5" s="629"/>
      <c r="K5" s="629"/>
      <c r="L5" s="126"/>
      <c r="M5" s="633"/>
      <c r="N5" s="634"/>
      <c r="O5" s="635"/>
    </row>
    <row r="6" spans="1:15">
      <c r="A6" s="341" t="s">
        <v>3357</v>
      </c>
      <c r="B6" s="127"/>
      <c r="C6" s="629"/>
      <c r="D6" s="629"/>
      <c r="E6" s="629"/>
      <c r="F6" s="629"/>
      <c r="G6" s="629"/>
      <c r="H6" s="629"/>
      <c r="I6" s="629"/>
      <c r="J6" s="629"/>
      <c r="K6" s="629"/>
      <c r="L6" s="126"/>
      <c r="M6" s="639"/>
      <c r="N6" s="640"/>
      <c r="O6" s="641"/>
    </row>
    <row r="7" spans="1:15">
      <c r="A7" s="339" t="s">
        <v>3434</v>
      </c>
      <c r="B7" s="127"/>
      <c r="C7" s="629"/>
      <c r="D7" s="629"/>
      <c r="E7" s="629"/>
      <c r="F7" s="629"/>
      <c r="G7" s="629"/>
      <c r="H7" s="629"/>
      <c r="I7" s="629"/>
      <c r="J7" s="629"/>
      <c r="K7" s="629"/>
      <c r="L7" s="126"/>
      <c r="M7" s="610" t="s">
        <v>3458</v>
      </c>
      <c r="N7" s="611"/>
      <c r="O7" s="612"/>
    </row>
    <row r="8" spans="1:15" ht="30.5" customHeight="1">
      <c r="A8" s="339" t="s">
        <v>7</v>
      </c>
      <c r="B8" s="127"/>
      <c r="C8" s="629"/>
      <c r="D8" s="629"/>
      <c r="E8" s="629"/>
      <c r="F8" s="629"/>
      <c r="G8" s="629"/>
      <c r="H8" s="629"/>
      <c r="I8" s="629"/>
      <c r="J8" s="629"/>
      <c r="K8" s="629"/>
      <c r="L8" s="126"/>
      <c r="M8" s="633"/>
      <c r="N8" s="634"/>
      <c r="O8" s="635"/>
    </row>
    <row r="9" spans="1:15" ht="29.5" customHeight="1">
      <c r="A9" s="339" t="s">
        <v>3427</v>
      </c>
      <c r="B9" s="127"/>
      <c r="C9" s="629"/>
      <c r="D9" s="629"/>
      <c r="E9" s="629"/>
      <c r="F9" s="629"/>
      <c r="G9" s="629"/>
      <c r="H9" s="629"/>
      <c r="I9" s="629"/>
      <c r="J9" s="629"/>
      <c r="K9" s="629"/>
      <c r="L9" s="126"/>
      <c r="M9" s="633"/>
      <c r="N9" s="634"/>
      <c r="O9" s="635"/>
    </row>
    <row r="10" spans="1:15" ht="29.5" customHeight="1">
      <c r="A10" s="340" t="s">
        <v>10</v>
      </c>
      <c r="B10" s="127"/>
      <c r="C10" s="111"/>
      <c r="D10" s="111"/>
      <c r="E10" s="111"/>
      <c r="F10" s="111"/>
      <c r="G10" s="111"/>
      <c r="H10" s="111"/>
      <c r="I10" s="111"/>
      <c r="J10" s="111"/>
      <c r="K10" s="111"/>
      <c r="L10" s="126"/>
      <c r="M10" s="633"/>
      <c r="N10" s="634"/>
      <c r="O10" s="635"/>
    </row>
    <row r="11" spans="1:15" ht="26">
      <c r="A11" s="340" t="s">
        <v>3645</v>
      </c>
      <c r="B11" s="127"/>
      <c r="C11" s="111"/>
      <c r="D11" s="188" t="s">
        <v>107</v>
      </c>
      <c r="E11" s="650" t="s">
        <v>108</v>
      </c>
      <c r="F11" s="650"/>
      <c r="G11" s="650"/>
      <c r="H11" s="650"/>
      <c r="I11" s="650"/>
      <c r="J11" s="650"/>
      <c r="K11" s="111"/>
      <c r="L11" s="126"/>
      <c r="M11" s="633"/>
      <c r="N11" s="634"/>
      <c r="O11" s="635"/>
    </row>
    <row r="12" spans="1:15" ht="52">
      <c r="A12" s="339" t="s">
        <v>3431</v>
      </c>
      <c r="B12" s="127"/>
      <c r="C12" s="192" t="s">
        <v>109</v>
      </c>
      <c r="D12" s="117" t="s">
        <v>110</v>
      </c>
      <c r="E12" s="289" t="s">
        <v>3374</v>
      </c>
      <c r="F12" s="295" t="s">
        <v>3462</v>
      </c>
      <c r="G12" s="117" t="s">
        <v>111</v>
      </c>
      <c r="H12" s="117" t="s">
        <v>112</v>
      </c>
      <c r="I12" s="388" t="s">
        <v>3686</v>
      </c>
      <c r="J12" s="289" t="s">
        <v>110</v>
      </c>
      <c r="K12" s="117" t="s">
        <v>114</v>
      </c>
      <c r="L12" s="126"/>
      <c r="M12" s="633"/>
      <c r="N12" s="634"/>
      <c r="O12" s="635"/>
    </row>
    <row r="13" spans="1:15" ht="25.4" customHeight="1">
      <c r="A13" s="340" t="s">
        <v>5</v>
      </c>
      <c r="B13" s="127"/>
      <c r="C13" s="490"/>
      <c r="D13" s="163"/>
      <c r="E13" s="163"/>
      <c r="F13" s="292"/>
      <c r="G13" s="163"/>
      <c r="H13" s="163"/>
      <c r="I13" s="121">
        <f>IFERROR(VLOOKUP(C13,'BDD FE'!$B$191:$F$235,5,0),0)</f>
        <v>0</v>
      </c>
      <c r="J13" s="313">
        <f t="shared" ref="J13" si="0">IF(ISBLANK(D13),E13*I13*10^-3*F13*G13*H13,D13)</f>
        <v>0</v>
      </c>
      <c r="K13" s="123">
        <f>IFERROR(IF(D13=0,E13*I13*10^-3*(F13/100)*G13*VLOOKUP(C13,'BDD FE'!$B$193:$E$235,2,0)*10^-3,D13*VLOOKUP(C13,'BDD FE'!$B$193:$E$235,2,0)*10^-3),0)</f>
        <v>0</v>
      </c>
      <c r="L13" s="146"/>
      <c r="M13" s="633"/>
      <c r="N13" s="634"/>
      <c r="O13" s="635"/>
    </row>
    <row r="14" spans="1:15">
      <c r="A14" s="339" t="s">
        <v>6</v>
      </c>
      <c r="B14" s="127"/>
      <c r="C14" s="490"/>
      <c r="D14" s="163"/>
      <c r="E14" s="163"/>
      <c r="F14" s="291"/>
      <c r="G14" s="163"/>
      <c r="H14" s="163"/>
      <c r="I14" s="121">
        <f>IFERROR(VLOOKUP(C14,'BDD FE'!$B$191:$F$235,5,0),0)</f>
        <v>0</v>
      </c>
      <c r="J14" s="313">
        <f t="shared" ref="J14:J29" si="1">IF(ISBLANK(D14),E14*I14*10^-3*F14*G14*H14,D14)</f>
        <v>0</v>
      </c>
      <c r="K14" s="123">
        <f>IFERROR(IF(D14=0,E14*I14*10^-3*F14*G14*H14*VLOOKUP(C14,'BDD FE'!$B$193:$E$235,2,0)*10^-3,D14*VLOOKUP(C14,'BDD FE'!$B$193:$E$235,2,0)*10^-3),0)</f>
        <v>0</v>
      </c>
      <c r="L14" s="126"/>
      <c r="M14" s="633"/>
      <c r="N14" s="634"/>
      <c r="O14" s="635"/>
    </row>
    <row r="15" spans="1:15">
      <c r="A15" s="340" t="s">
        <v>12</v>
      </c>
      <c r="B15" s="127"/>
      <c r="C15" s="490"/>
      <c r="D15" s="163"/>
      <c r="E15" s="163"/>
      <c r="F15" s="291"/>
      <c r="G15" s="163"/>
      <c r="H15" s="163"/>
      <c r="I15" s="121">
        <f>IFERROR(VLOOKUP(C15,'BDD FE'!$B$191:$F$235,5,0),0)</f>
        <v>0</v>
      </c>
      <c r="J15" s="313">
        <f t="shared" si="1"/>
        <v>0</v>
      </c>
      <c r="K15" s="123">
        <f>IFERROR(IF(D15=0,E15*I15*10^-3*F15*G15*H15*VLOOKUP(C15,'BDD FE'!$B$193:$E$235,2,0)*10^-3,D15*VLOOKUP(C15,'BDD FE'!$B$193:$E$235,2,0)*10^-3),0)</f>
        <v>0</v>
      </c>
      <c r="L15" s="126"/>
      <c r="M15" s="633"/>
      <c r="N15" s="634"/>
      <c r="O15" s="635"/>
    </row>
    <row r="16" spans="1:15">
      <c r="A16" s="340" t="s">
        <v>14</v>
      </c>
      <c r="B16" s="127"/>
      <c r="C16" s="490"/>
      <c r="D16" s="163"/>
      <c r="E16" s="163"/>
      <c r="F16" s="291"/>
      <c r="G16" s="163"/>
      <c r="H16" s="163"/>
      <c r="I16" s="121">
        <f>IFERROR(VLOOKUP(C16,'BDD FE'!$B$191:$F$235,5,0),0)</f>
        <v>0</v>
      </c>
      <c r="J16" s="313">
        <f t="shared" si="1"/>
        <v>0</v>
      </c>
      <c r="K16" s="123">
        <f>IFERROR(IF(D16=0,E16*I16*10^-3*F16*G16*H16*VLOOKUP(C16,'BDD FE'!$B$193:$E$235,2,0)*10^-3,D16*VLOOKUP(C16,'BDD FE'!$B$193:$E$235,2,0)*10^-3),0)</f>
        <v>0</v>
      </c>
      <c r="L16" s="126"/>
      <c r="M16" s="633"/>
      <c r="N16" s="634"/>
      <c r="O16" s="635"/>
    </row>
    <row r="17" spans="1:16">
      <c r="A17" s="339" t="s">
        <v>3426</v>
      </c>
      <c r="B17" s="127"/>
      <c r="C17" s="490"/>
      <c r="D17" s="163"/>
      <c r="E17" s="163"/>
      <c r="F17" s="291"/>
      <c r="G17" s="163"/>
      <c r="H17" s="163"/>
      <c r="I17" s="121">
        <f>IFERROR(VLOOKUP(C17,'BDD FE'!$B$191:$F$235,5,0),0)</f>
        <v>0</v>
      </c>
      <c r="J17" s="313">
        <f t="shared" si="1"/>
        <v>0</v>
      </c>
      <c r="K17" s="123">
        <f>IFERROR(IF(D17=0,E17*I17*10^-3*F17*G17*H17*VLOOKUP(C17,'BDD FE'!$B$193:$E$235,2,0)*10^-3,D17*VLOOKUP(C17,'BDD FE'!$B$193:$E$235,2,0)*10^-3),0)</f>
        <v>0</v>
      </c>
      <c r="L17" s="126"/>
      <c r="M17" s="633"/>
      <c r="N17" s="634"/>
      <c r="O17" s="635"/>
    </row>
    <row r="18" spans="1:16">
      <c r="A18" s="340" t="s">
        <v>3918</v>
      </c>
      <c r="B18" s="127"/>
      <c r="C18" s="490"/>
      <c r="D18" s="163"/>
      <c r="E18" s="163"/>
      <c r="F18" s="291"/>
      <c r="G18" s="163"/>
      <c r="H18" s="163"/>
      <c r="I18" s="121">
        <f>IFERROR(VLOOKUP(C18,'BDD FE'!$B$191:$F$235,5,0),0)</f>
        <v>0</v>
      </c>
      <c r="J18" s="313">
        <f t="shared" si="1"/>
        <v>0</v>
      </c>
      <c r="K18" s="123">
        <f>IFERROR(IF(D18=0,E18*I18*10^-3*F18*G18*H18*VLOOKUP(C18,'BDD FE'!$B$193:$E$235,2,0)*10^-3,D18*VLOOKUP(C18,'BDD FE'!$B$193:$E$235,2,0)*10^-3),0)</f>
        <v>0</v>
      </c>
      <c r="L18" s="126"/>
      <c r="M18" s="633"/>
      <c r="N18" s="634"/>
      <c r="O18" s="635"/>
    </row>
    <row r="19" spans="1:16">
      <c r="A19" s="340" t="s">
        <v>3436</v>
      </c>
      <c r="B19" s="127"/>
      <c r="C19" s="490"/>
      <c r="D19" s="163"/>
      <c r="E19" s="163"/>
      <c r="F19" s="291"/>
      <c r="G19" s="163"/>
      <c r="H19" s="163"/>
      <c r="I19" s="121">
        <f>IFERROR(VLOOKUP(C19,'BDD FE'!$B$191:$F$235,5,0),0)</f>
        <v>0</v>
      </c>
      <c r="J19" s="313">
        <f t="shared" si="1"/>
        <v>0</v>
      </c>
      <c r="K19" s="123">
        <f>IFERROR(IF(D19=0,E19*I19*10^-3*F19*G19*H19*VLOOKUP(C19,'BDD FE'!$B$193:$E$235,2,0)*10^-3,D19*VLOOKUP(C19,'BDD FE'!$B$193:$E$235,2,0)*10^-3),0)</f>
        <v>0</v>
      </c>
      <c r="L19" s="126"/>
      <c r="M19" s="639"/>
      <c r="N19" s="640"/>
      <c r="O19" s="641"/>
    </row>
    <row r="20" spans="1:16">
      <c r="A20" s="340" t="s">
        <v>3378</v>
      </c>
      <c r="B20" s="127"/>
      <c r="C20" s="490"/>
      <c r="D20" s="163"/>
      <c r="E20" s="163"/>
      <c r="F20" s="291"/>
      <c r="G20" s="163"/>
      <c r="H20" s="163"/>
      <c r="I20" s="121">
        <f>IFERROR(VLOOKUP(C20,'BDD FE'!$B$191:$F$235,5,0),0)</f>
        <v>0</v>
      </c>
      <c r="J20" s="313">
        <f t="shared" si="1"/>
        <v>0</v>
      </c>
      <c r="K20" s="123">
        <f>IFERROR(IF(D20=0,E20*I20*10^-3*F20*G20*H20*VLOOKUP(C20,'BDD FE'!$B$193:$E$235,2,0)*10^-3,D20*VLOOKUP(C20,'BDD FE'!$B$193:$E$235,2,0)*10^-3),0)</f>
        <v>0</v>
      </c>
      <c r="L20" s="126"/>
      <c r="M20" s="613" t="s">
        <v>3459</v>
      </c>
      <c r="N20" s="614"/>
      <c r="O20" s="615"/>
    </row>
    <row r="21" spans="1:16">
      <c r="A21" s="339" t="s">
        <v>3430</v>
      </c>
      <c r="B21" s="127"/>
      <c r="C21" s="490"/>
      <c r="D21" s="163"/>
      <c r="E21" s="163"/>
      <c r="F21" s="291"/>
      <c r="G21" s="163"/>
      <c r="H21" s="163"/>
      <c r="I21" s="121">
        <f>IFERROR(VLOOKUP(C21,'BDD FE'!$B$191:$F$235,5,0),0)</f>
        <v>0</v>
      </c>
      <c r="J21" s="313">
        <f t="shared" si="1"/>
        <v>0</v>
      </c>
      <c r="K21" s="123">
        <f>IFERROR(IF(D21=0,E21*I21*10^-3*F21*G21*H21*VLOOKUP(C21,'BDD FE'!$B$193:$E$235,2,0)*10^-3,D21*VLOOKUP(C21,'BDD FE'!$B$193:$E$235,2,0)*10^-3),0)</f>
        <v>0</v>
      </c>
      <c r="L21" s="126"/>
      <c r="M21" s="633"/>
      <c r="N21" s="634"/>
      <c r="O21" s="635"/>
      <c r="P21" s="293"/>
    </row>
    <row r="22" spans="1:16">
      <c r="A22" s="340" t="s">
        <v>3433</v>
      </c>
      <c r="B22" s="127"/>
      <c r="C22" s="490"/>
      <c r="D22" s="163"/>
      <c r="E22" s="163"/>
      <c r="F22" s="291"/>
      <c r="G22" s="163"/>
      <c r="H22" s="163"/>
      <c r="I22" s="121">
        <f>IFERROR(VLOOKUP(C22,'BDD FE'!$B$191:$F$235,5,0),0)</f>
        <v>0</v>
      </c>
      <c r="J22" s="313">
        <f t="shared" si="1"/>
        <v>0</v>
      </c>
      <c r="K22" s="123">
        <f>IFERROR(IF(D22=0,E22*I22*10^-3*F22*G22*H22*VLOOKUP(C22,'BDD FE'!$B$193:$E$235,2,0)*10^-3,D22*VLOOKUP(C22,'BDD FE'!$B$193:$E$235,2,0)*10^-3),0)</f>
        <v>0</v>
      </c>
      <c r="L22" s="126"/>
      <c r="M22" s="633"/>
      <c r="N22" s="634"/>
      <c r="O22" s="635"/>
      <c r="P22" s="293"/>
    </row>
    <row r="23" spans="1:16">
      <c r="A23" s="340" t="s">
        <v>3428</v>
      </c>
      <c r="B23" s="127"/>
      <c r="C23" s="490"/>
      <c r="D23" s="163"/>
      <c r="E23" s="163"/>
      <c r="F23" s="291"/>
      <c r="G23" s="163"/>
      <c r="H23" s="163"/>
      <c r="I23" s="121">
        <f>IFERROR(VLOOKUP(C23,'BDD FE'!$B$191:$F$235,5,0),0)</f>
        <v>0</v>
      </c>
      <c r="J23" s="313">
        <f t="shared" si="1"/>
        <v>0</v>
      </c>
      <c r="K23" s="123">
        <f>IFERROR(IF(D23=0,E23*I23*10^-3*F23*G23*H23*VLOOKUP(C23,'BDD FE'!$B$193:$E$235,2,0)*10^-3,D23*VLOOKUP(C23,'BDD FE'!$B$193:$E$235,2,0)*10^-3),0)</f>
        <v>0</v>
      </c>
      <c r="L23" s="126"/>
      <c r="M23" s="633"/>
      <c r="N23" s="634"/>
      <c r="O23" s="635"/>
      <c r="P23" s="293"/>
    </row>
    <row r="24" spans="1:16">
      <c r="A24" s="340" t="s">
        <v>11</v>
      </c>
      <c r="B24" s="127"/>
      <c r="C24" s="490"/>
      <c r="D24" s="163"/>
      <c r="E24" s="163"/>
      <c r="F24" s="291"/>
      <c r="G24" s="163"/>
      <c r="H24" s="163"/>
      <c r="I24" s="121">
        <f>IFERROR(VLOOKUP(C24,'BDD FE'!$B$191:$F$235,5,0),0)</f>
        <v>0</v>
      </c>
      <c r="J24" s="313">
        <f t="shared" si="1"/>
        <v>0</v>
      </c>
      <c r="K24" s="123">
        <f>IFERROR(IF(D24=0,E24*I24*10^-3*F24*G24*H24*VLOOKUP(C24,'BDD FE'!$B$193:$E$235,2,0)*10^-3,D24*VLOOKUP(C24,'BDD FE'!$B$193:$E$235,2,0)*10^-3),0)</f>
        <v>0</v>
      </c>
      <c r="L24" s="126"/>
      <c r="M24" s="633"/>
      <c r="N24" s="634"/>
      <c r="O24" s="635"/>
      <c r="P24" s="293"/>
    </row>
    <row r="25" spans="1:16">
      <c r="A25" s="340" t="s">
        <v>13</v>
      </c>
      <c r="B25" s="127"/>
      <c r="C25" s="490"/>
      <c r="D25" s="163"/>
      <c r="E25" s="163"/>
      <c r="F25" s="291"/>
      <c r="G25" s="163"/>
      <c r="H25" s="163"/>
      <c r="I25" s="121">
        <f>IFERROR(VLOOKUP(C25,'BDD FE'!$B$191:$F$235,5,0),0)</f>
        <v>0</v>
      </c>
      <c r="J25" s="313">
        <f t="shared" si="1"/>
        <v>0</v>
      </c>
      <c r="K25" s="123">
        <f>IFERROR(IF(D25=0,E25*I25*10^-3*F25*G25*H25*VLOOKUP(C25,'BDD FE'!$B$193:$E$235,2,0)*10^-3,D25*VLOOKUP(C25,'BDD FE'!$B$193:$E$235,2,0)*10^-3),0)</f>
        <v>0</v>
      </c>
      <c r="L25" s="126"/>
      <c r="M25" s="633"/>
      <c r="N25" s="634"/>
      <c r="O25" s="635"/>
    </row>
    <row r="26" spans="1:16">
      <c r="B26" s="127"/>
      <c r="C26" s="490"/>
      <c r="D26" s="163"/>
      <c r="E26" s="163"/>
      <c r="F26" s="291"/>
      <c r="G26" s="163"/>
      <c r="H26" s="163"/>
      <c r="I26" s="121">
        <f>IFERROR(VLOOKUP(C26,'BDD FE'!$B$191:$F$235,5,0),0)</f>
        <v>0</v>
      </c>
      <c r="J26" s="313">
        <f t="shared" si="1"/>
        <v>0</v>
      </c>
      <c r="K26" s="123">
        <f>IFERROR(IF(D26=0,E26*I26*10^-3*F26*G26*H26*VLOOKUP(C26,'BDD FE'!$B$193:$E$235,2,0)*10^-3,D26*VLOOKUP(C26,'BDD FE'!$B$193:$E$235,2,0)*10^-3),0)</f>
        <v>0</v>
      </c>
      <c r="L26" s="126"/>
      <c r="M26" s="633"/>
      <c r="N26" s="634"/>
      <c r="O26" s="635"/>
    </row>
    <row r="27" spans="1:16">
      <c r="B27" s="127"/>
      <c r="C27" s="490"/>
      <c r="D27" s="163"/>
      <c r="E27" s="163"/>
      <c r="F27" s="291"/>
      <c r="G27" s="163"/>
      <c r="H27" s="163"/>
      <c r="I27" s="121">
        <f>IFERROR(VLOOKUP(C27,'BDD FE'!$B$191:$F$235,5,0),0)</f>
        <v>0</v>
      </c>
      <c r="J27" s="313">
        <f t="shared" si="1"/>
        <v>0</v>
      </c>
      <c r="K27" s="123">
        <f>IFERROR(IF(D27=0,E27*I27*10^-3*F27*G27*H27*VLOOKUP(C27,'BDD FE'!$B$193:$E$235,2,0)*10^-3,D27*VLOOKUP(C27,'BDD FE'!$B$193:$E$235,2,0)*10^-3),0)</f>
        <v>0</v>
      </c>
      <c r="L27" s="126"/>
      <c r="M27" s="633"/>
      <c r="N27" s="634"/>
      <c r="O27" s="635"/>
    </row>
    <row r="28" spans="1:16">
      <c r="B28" s="127"/>
      <c r="C28" s="490"/>
      <c r="D28" s="163"/>
      <c r="E28" s="163"/>
      <c r="F28" s="291"/>
      <c r="G28" s="163"/>
      <c r="H28" s="163"/>
      <c r="I28" s="121">
        <f>IFERROR(VLOOKUP(C28,'BDD FE'!$B$191:$F$235,5,0),0)</f>
        <v>0</v>
      </c>
      <c r="J28" s="313">
        <f t="shared" si="1"/>
        <v>0</v>
      </c>
      <c r="K28" s="123">
        <f>IFERROR(IF(D28=0,E28*I28*10^-3*F28*G28*H28*VLOOKUP(C28,'BDD FE'!$B$193:$E$235,2,0)*10^-3,D28*VLOOKUP(C28,'BDD FE'!$B$193:$E$235,2,0)*10^-3),0)</f>
        <v>0</v>
      </c>
      <c r="L28" s="126"/>
      <c r="M28" s="633"/>
      <c r="N28" s="634"/>
      <c r="O28" s="635"/>
    </row>
    <row r="29" spans="1:16">
      <c r="B29" s="127"/>
      <c r="C29" s="490"/>
      <c r="D29" s="163"/>
      <c r="E29" s="163"/>
      <c r="F29" s="291"/>
      <c r="G29" s="163"/>
      <c r="H29" s="163"/>
      <c r="I29" s="121">
        <f>IFERROR(VLOOKUP(C29,'BDD FE'!$B$191:$F$235,5,0),0)</f>
        <v>0</v>
      </c>
      <c r="J29" s="313">
        <f t="shared" si="1"/>
        <v>0</v>
      </c>
      <c r="K29" s="123">
        <f>IFERROR(IF(D29=0,E29*I29*10^-3*F29*G29*H29*VLOOKUP(C29,'BDD FE'!$B$193:$E$235,2,0)*10^-3,D29*VLOOKUP(C29,'BDD FE'!$B$193:$E$235,2,0)*10^-3),0)</f>
        <v>0</v>
      </c>
      <c r="L29" s="126"/>
      <c r="M29" s="633"/>
      <c r="N29" s="634"/>
      <c r="O29" s="635"/>
    </row>
    <row r="30" spans="1:16" ht="14.4" customHeight="1">
      <c r="B30" s="127"/>
      <c r="C30" s="651" t="s">
        <v>115</v>
      </c>
      <c r="D30" s="651"/>
      <c r="E30" s="651"/>
      <c r="F30" s="111"/>
      <c r="G30" s="111"/>
      <c r="H30" s="111"/>
      <c r="I30" s="111"/>
      <c r="J30" s="111"/>
      <c r="K30" s="123">
        <f>SUM(K13:K29)</f>
        <v>0</v>
      </c>
      <c r="L30" s="126"/>
      <c r="M30" s="633"/>
      <c r="N30" s="634"/>
      <c r="O30" s="635"/>
    </row>
    <row r="31" spans="1:16">
      <c r="B31" s="127"/>
      <c r="C31" s="111"/>
      <c r="D31" s="111"/>
      <c r="E31" s="111"/>
      <c r="F31" s="111"/>
      <c r="G31" s="111"/>
      <c r="H31" s="111"/>
      <c r="I31" s="111"/>
      <c r="J31" s="111"/>
      <c r="K31" s="111"/>
      <c r="L31" s="126"/>
      <c r="M31" s="633"/>
      <c r="N31" s="634"/>
      <c r="O31" s="635"/>
    </row>
    <row r="32" spans="1:16" ht="14.4" customHeight="1" thickBot="1">
      <c r="B32" s="145"/>
      <c r="L32" s="149"/>
      <c r="M32" s="636"/>
      <c r="N32" s="637"/>
      <c r="O32" s="638"/>
    </row>
    <row r="33" spans="2:15">
      <c r="B33" s="145"/>
      <c r="L33" s="149"/>
      <c r="M33" s="324"/>
      <c r="N33" s="325"/>
      <c r="O33" s="166"/>
    </row>
    <row r="34" spans="2:15">
      <c r="B34" s="145"/>
      <c r="L34" s="149"/>
      <c r="M34" s="145"/>
      <c r="O34" s="149"/>
    </row>
    <row r="35" spans="2:15">
      <c r="B35" s="145"/>
      <c r="L35" s="149"/>
      <c r="M35" s="145"/>
      <c r="O35" s="149"/>
    </row>
    <row r="36" spans="2:15">
      <c r="B36" s="145"/>
      <c r="L36" s="149"/>
      <c r="M36" s="145"/>
      <c r="O36" s="149"/>
    </row>
    <row r="37" spans="2:15" ht="15" thickBot="1">
      <c r="B37" s="150"/>
      <c r="C37" s="151"/>
      <c r="D37" s="151"/>
      <c r="E37" s="151"/>
      <c r="F37" s="151"/>
      <c r="G37" s="151"/>
      <c r="H37" s="151"/>
      <c r="I37" s="151"/>
      <c r="J37" s="151"/>
      <c r="K37" s="151"/>
      <c r="L37" s="152"/>
      <c r="M37" s="150"/>
      <c r="N37" s="151"/>
      <c r="O37" s="152"/>
    </row>
    <row r="38" spans="2:15">
      <c r="M38" s="111"/>
    </row>
    <row r="39" spans="2:15">
      <c r="M39" s="111"/>
    </row>
    <row r="40" spans="2:15" hidden="1">
      <c r="M40" s="111"/>
    </row>
    <row r="41" spans="2:15" hidden="1">
      <c r="M41" s="111"/>
    </row>
  </sheetData>
  <protectedRanges>
    <protectedRange sqref="C13:H29" name="Plage1"/>
    <protectedRange sqref="M3" name="Plage1_1_1_1"/>
  </protectedRanges>
  <mergeCells count="12">
    <mergeCell ref="M21:O32"/>
    <mergeCell ref="M8:O19"/>
    <mergeCell ref="C30:E30"/>
    <mergeCell ref="M2:O2"/>
    <mergeCell ref="M3:O6"/>
    <mergeCell ref="M7:O7"/>
    <mergeCell ref="M20:O20"/>
    <mergeCell ref="A1:A2"/>
    <mergeCell ref="M1:O1"/>
    <mergeCell ref="B1:L1"/>
    <mergeCell ref="E11:J11"/>
    <mergeCell ref="C4:K9"/>
  </mergeCells>
  <hyperlinks>
    <hyperlink ref="A6" location="'1_Votre Structure'!A1" display="Votre structure" xr:uid="{08FBA7CF-2DFA-4D35-96E8-13CA83B89141}"/>
    <hyperlink ref="A7" location="'2_ConsoEnergieEau'!A1" display="Consommation d'énergie et d'eau" xr:uid="{324749E2-5DF6-4CE5-B812-314AD82C5F77}"/>
    <hyperlink ref="A8" location="'3_Climatisation'!A1" display="Climatisation" xr:uid="{5072A19E-6CC7-41A0-9ECC-F186E2A130FF}"/>
    <hyperlink ref="A12" location="'7_DéplacementsProfessionnels'!A1" display="Déplacements professionnels" xr:uid="{EF77105A-42F4-46E1-8D13-F8BAD18D12C1}"/>
    <hyperlink ref="A13" location="'8_DéplacementsSalariés'!A1" display="Déplacements des salariés" xr:uid="{41F26939-FF28-4F6D-8CDA-B5486680AF85}"/>
    <hyperlink ref="A17" location="'12_Equipements'!A1" display="Equipements" xr:uid="{CB73C62F-93F1-4888-9398-D5B7F611B123}"/>
    <hyperlink ref="A10" location="'5_Déchets'!A1" display="Déchets" xr:uid="{BCBF0D06-F8FC-4748-91EA-4F3CFD7BD9F2}"/>
    <hyperlink ref="A22" location="'17_TransportMatériel'!A1" display="Transport de matériel et d'œuvres" xr:uid="{06653C93-6251-4FD8-B405-728AA15404AF}"/>
    <hyperlink ref="A23" location="'18_ImpressionsComPapier'!A1" display="Impression et communication papier" xr:uid="{04F2D01D-8622-4B2B-ABCB-4C627980D686}"/>
    <hyperlink ref="A24" location="'19_ComDigitale'!A1" display="Communication digitale" xr:uid="{1073E63B-CE29-42B1-BE58-0FC1CCE4D8B7}"/>
    <hyperlink ref="A25" location="'20_Billetterie'!A1" display="Billetterie" xr:uid="{CB0160B4-E93E-4267-AF96-FB78BC08E305}"/>
    <hyperlink ref="A20" location="'15_Alimentation'!A1" display="Alimentation" xr:uid="{56BB797F-B71D-4DE5-A982-B63E0D715E9F}"/>
    <hyperlink ref="A14" location="'9_DéplacementsVisiteurs'!A1" display="Déplacements des visiteurs" xr:uid="{C198757B-1E12-43B4-9B1B-C6675CE78A79}"/>
    <hyperlink ref="A15" location="'10_Tournées artistiques'!A1" display="Tournées artistiques" xr:uid="{3C160F4C-860A-4237-ACE8-FD69AAEE2823}"/>
    <hyperlink ref="A16" location="'11_Artistes invité.e.s'!A1" display="Artistes invité.e.s" xr:uid="{0ADD777D-88ED-4281-9B13-C4B292C6CE92}"/>
    <hyperlink ref="A9" location="'4_Bâtiments,travaux, agcmt'!A1" display="Bâtiments, travaux et agencements" xr:uid="{91B526B3-65DE-48DA-B20D-975D31D49EF7}"/>
    <hyperlink ref="A18" location="'13_Achats - Documents papiers'!A1" display="Achats - Documents papiers" xr:uid="{258B0AB0-69F3-4ABE-828D-56D836793A15}"/>
    <hyperlink ref="A21" location="'16_Autres achats (€)'!A1" display="Autres achats" xr:uid="{F58D9D86-D786-4680-A25B-E351CDD8D120}"/>
    <hyperlink ref="A19" location="'14_Décors'!A1" display="Décors" xr:uid="{1EA3FF12-6689-4808-AA17-CEF55EB92545}"/>
    <hyperlink ref="A11" location="'6_DéplacementsPrestations'!A1" display="Déplacements de prestations" xr:uid="{C991D1B9-E314-45CB-87DB-1C4FAB96FD7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'BDD FE'!$B$193:$B$235</xm:f>
          </x14:formula1>
          <xm:sqref>C13:C29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N32"/>
  <sheetViews>
    <sheetView showGridLines="0" zoomScale="60" zoomScaleNormal="60" workbookViewId="0">
      <selection activeCell="E12" sqref="E12"/>
    </sheetView>
  </sheetViews>
  <sheetFormatPr baseColWidth="10" defaultColWidth="0" defaultRowHeight="14.5"/>
  <cols>
    <col min="1" max="1" width="25.81640625" bestFit="1" customWidth="1"/>
    <col min="2" max="10" width="19.54296875" customWidth="1"/>
    <col min="11" max="11" width="11.1796875" style="112" customWidth="1"/>
    <col min="12" max="14" width="11.1796875" customWidth="1"/>
    <col min="15" max="16384" width="11.1796875" hidden="1"/>
  </cols>
  <sheetData>
    <row r="1" spans="1:13" ht="20.5" thickBot="1">
      <c r="A1" s="647" t="s">
        <v>3359</v>
      </c>
      <c r="B1" s="649" t="s">
        <v>3644</v>
      </c>
      <c r="C1" s="572"/>
      <c r="D1" s="572"/>
      <c r="E1" s="572"/>
      <c r="F1" s="572"/>
      <c r="G1" s="572"/>
      <c r="H1" s="572"/>
      <c r="I1" s="572"/>
      <c r="J1" s="573"/>
      <c r="K1" s="598" t="s">
        <v>3391</v>
      </c>
      <c r="L1" s="599"/>
      <c r="M1" s="600"/>
    </row>
    <row r="2" spans="1:13" ht="18" thickBot="1">
      <c r="A2" s="648"/>
      <c r="B2" s="145"/>
      <c r="C2" s="146"/>
      <c r="D2" s="146"/>
      <c r="E2" s="146"/>
      <c r="F2" s="503">
        <f>I23</f>
        <v>0</v>
      </c>
      <c r="I2" s="146"/>
      <c r="J2" s="147"/>
      <c r="K2" s="610" t="s">
        <v>3457</v>
      </c>
      <c r="L2" s="611"/>
      <c r="M2" s="612"/>
    </row>
    <row r="3" spans="1:13">
      <c r="A3" s="338"/>
      <c r="B3" s="145"/>
      <c r="C3" s="111"/>
      <c r="D3" s="111"/>
      <c r="E3" s="111"/>
      <c r="F3" s="111"/>
      <c r="G3" s="111"/>
      <c r="H3" s="111"/>
      <c r="I3" s="111"/>
      <c r="J3" s="125"/>
      <c r="K3" s="633"/>
      <c r="L3" s="634"/>
      <c r="M3" s="635"/>
    </row>
    <row r="4" spans="1:13" ht="14.4" customHeight="1">
      <c r="A4" s="338"/>
      <c r="B4" s="145"/>
      <c r="C4" s="644" t="s">
        <v>3921</v>
      </c>
      <c r="D4" s="629"/>
      <c r="E4" s="629"/>
      <c r="F4" s="629"/>
      <c r="G4" s="629"/>
      <c r="H4" s="629"/>
      <c r="I4" s="629"/>
      <c r="J4" s="125"/>
      <c r="K4" s="633"/>
      <c r="L4" s="634"/>
      <c r="M4" s="635"/>
    </row>
    <row r="5" spans="1:13">
      <c r="A5" s="338"/>
      <c r="B5" s="145"/>
      <c r="C5" s="629"/>
      <c r="D5" s="629"/>
      <c r="E5" s="629"/>
      <c r="F5" s="629"/>
      <c r="G5" s="629"/>
      <c r="H5" s="629"/>
      <c r="I5" s="629"/>
      <c r="J5" s="125"/>
      <c r="K5" s="633"/>
      <c r="L5" s="634"/>
      <c r="M5" s="635"/>
    </row>
    <row r="6" spans="1:13">
      <c r="A6" s="341" t="s">
        <v>3357</v>
      </c>
      <c r="B6" s="145"/>
      <c r="C6" s="629"/>
      <c r="D6" s="629"/>
      <c r="E6" s="629"/>
      <c r="F6" s="629"/>
      <c r="G6" s="629"/>
      <c r="H6" s="629"/>
      <c r="I6" s="629"/>
      <c r="J6" s="148"/>
      <c r="K6" s="639"/>
      <c r="L6" s="640"/>
      <c r="M6" s="641"/>
    </row>
    <row r="7" spans="1:13">
      <c r="A7" s="339" t="s">
        <v>3434</v>
      </c>
      <c r="B7" s="145"/>
      <c r="C7" s="629"/>
      <c r="D7" s="629"/>
      <c r="E7" s="629"/>
      <c r="F7" s="629"/>
      <c r="G7" s="629"/>
      <c r="H7" s="629"/>
      <c r="I7" s="629"/>
      <c r="J7" s="148"/>
      <c r="K7" s="610" t="s">
        <v>3458</v>
      </c>
      <c r="L7" s="611"/>
      <c r="M7" s="612"/>
    </row>
    <row r="8" spans="1:13">
      <c r="A8" s="339" t="s">
        <v>7</v>
      </c>
      <c r="B8" s="145"/>
      <c r="C8" s="629"/>
      <c r="D8" s="629"/>
      <c r="E8" s="629"/>
      <c r="F8" s="629"/>
      <c r="G8" s="629"/>
      <c r="H8" s="629"/>
      <c r="I8" s="629"/>
      <c r="J8" s="148"/>
      <c r="K8" s="633"/>
      <c r="L8" s="634"/>
      <c r="M8" s="635"/>
    </row>
    <row r="9" spans="1:13">
      <c r="A9" s="339" t="s">
        <v>3427</v>
      </c>
      <c r="B9" s="145"/>
      <c r="C9" s="629"/>
      <c r="D9" s="629"/>
      <c r="E9" s="629"/>
      <c r="F9" s="629"/>
      <c r="G9" s="629"/>
      <c r="H9" s="629"/>
      <c r="I9" s="629"/>
      <c r="J9" s="148"/>
      <c r="K9" s="633"/>
      <c r="L9" s="634"/>
      <c r="M9" s="635"/>
    </row>
    <row r="10" spans="1:13">
      <c r="A10" s="340" t="s">
        <v>10</v>
      </c>
      <c r="B10" s="145"/>
      <c r="C10" s="111"/>
      <c r="D10" s="111"/>
      <c r="E10" s="111"/>
      <c r="F10" s="111"/>
      <c r="G10" s="111"/>
      <c r="H10" s="111"/>
      <c r="I10" s="111"/>
      <c r="J10" s="148"/>
      <c r="K10" s="633"/>
      <c r="L10" s="634"/>
      <c r="M10" s="635"/>
    </row>
    <row r="11" spans="1:13">
      <c r="A11" s="340" t="s">
        <v>3645</v>
      </c>
      <c r="B11" s="145"/>
      <c r="C11" s="111"/>
      <c r="D11" s="111"/>
      <c r="E11" s="111"/>
      <c r="F11" s="652" t="s">
        <v>3420</v>
      </c>
      <c r="G11" s="652"/>
      <c r="H11" s="345" t="s">
        <v>3419</v>
      </c>
      <c r="I11" s="111"/>
      <c r="J11" s="148"/>
      <c r="K11" s="633"/>
      <c r="L11" s="634"/>
      <c r="M11" s="635"/>
    </row>
    <row r="12" spans="1:13" ht="37.5">
      <c r="A12" s="339" t="s">
        <v>3431</v>
      </c>
      <c r="B12" s="145"/>
      <c r="C12" s="289" t="s">
        <v>3535</v>
      </c>
      <c r="D12" s="289" t="s">
        <v>3536</v>
      </c>
      <c r="E12" s="295" t="s">
        <v>4058</v>
      </c>
      <c r="F12" s="397" t="s">
        <v>89</v>
      </c>
      <c r="G12" s="529" t="s">
        <v>82</v>
      </c>
      <c r="H12" s="289" t="s">
        <v>3423</v>
      </c>
      <c r="I12" s="117" t="s">
        <v>80</v>
      </c>
      <c r="J12" s="148"/>
      <c r="K12" s="633"/>
      <c r="L12" s="634"/>
      <c r="M12" s="635"/>
    </row>
    <row r="13" spans="1:13">
      <c r="A13" s="340" t="s">
        <v>5</v>
      </c>
      <c r="B13" s="145"/>
      <c r="C13" s="164"/>
      <c r="D13" s="164"/>
      <c r="E13" s="164"/>
      <c r="F13" s="165"/>
      <c r="G13" s="164"/>
      <c r="H13" s="350">
        <v>0</v>
      </c>
      <c r="I13" s="132">
        <f>IFERROR(IF(ISBLANK(F13),((H13/1000)*'BDD FE'!C647*10^-3),G13*VLOOKUP(F13,'BDD FE'!$B$130:$H$148,6,0)*10^-3),0)</f>
        <v>0</v>
      </c>
      <c r="J13" s="349"/>
      <c r="K13" s="639"/>
      <c r="L13" s="640"/>
      <c r="M13" s="641"/>
    </row>
    <row r="14" spans="1:13">
      <c r="A14" s="339" t="s">
        <v>6</v>
      </c>
      <c r="B14" s="145"/>
      <c r="C14" s="164"/>
      <c r="D14" s="164"/>
      <c r="E14" s="164"/>
      <c r="F14" s="165"/>
      <c r="G14" s="164"/>
      <c r="H14" s="350">
        <v>0</v>
      </c>
      <c r="I14" s="132">
        <f>IFERROR(IF(ISBLANK(F14),((H14/1000)*'BDD FE'!C648*10^-3),G14*VLOOKUP(F14,'BDD FE'!$B$130:$H$148,6,0)*10^-3),0)</f>
        <v>0</v>
      </c>
      <c r="J14" s="148"/>
      <c r="K14" s="613" t="s">
        <v>3459</v>
      </c>
      <c r="L14" s="614"/>
      <c r="M14" s="615"/>
    </row>
    <row r="15" spans="1:13">
      <c r="A15" s="340" t="s">
        <v>12</v>
      </c>
      <c r="B15" s="145"/>
      <c r="C15" s="164"/>
      <c r="D15" s="164"/>
      <c r="E15" s="164"/>
      <c r="F15" s="165"/>
      <c r="G15" s="164"/>
      <c r="H15" s="350">
        <v>0</v>
      </c>
      <c r="I15" s="132">
        <f>IFERROR(IF(ISBLANK(F15),((H15/1000)*'BDD FE'!C649*10^-3),G15*VLOOKUP(F15,'BDD FE'!$B$130:$H$148,6,0)*10^-3),0)</f>
        <v>0</v>
      </c>
      <c r="J15" s="148"/>
      <c r="K15" s="633"/>
      <c r="L15" s="634"/>
      <c r="M15" s="635"/>
    </row>
    <row r="16" spans="1:13">
      <c r="A16" s="340" t="s">
        <v>14</v>
      </c>
      <c r="B16" s="145"/>
      <c r="C16" s="164"/>
      <c r="D16" s="164"/>
      <c r="E16" s="164"/>
      <c r="F16" s="165"/>
      <c r="G16" s="164"/>
      <c r="H16" s="350">
        <v>0</v>
      </c>
      <c r="I16" s="132">
        <f>IFERROR(IF(ISBLANK(F16),((H16/1000)*'BDD FE'!C650*10^-3),G16*VLOOKUP(F16,'BDD FE'!$B$130:$H$148,6,0)*10^-3),0)</f>
        <v>0</v>
      </c>
      <c r="J16" s="148"/>
      <c r="K16" s="633"/>
      <c r="L16" s="634"/>
      <c r="M16" s="635"/>
    </row>
    <row r="17" spans="1:13">
      <c r="A17" s="339" t="s">
        <v>3426</v>
      </c>
      <c r="B17" s="145"/>
      <c r="C17" s="164"/>
      <c r="D17" s="164"/>
      <c r="E17" s="164"/>
      <c r="F17" s="165"/>
      <c r="G17" s="164"/>
      <c r="H17" s="350">
        <v>0</v>
      </c>
      <c r="I17" s="132">
        <f>IFERROR(IF(ISBLANK(F17),((H17/1000)*'BDD FE'!C651*10^-3),G17*VLOOKUP(F17,'BDD FE'!$B$130:$H$148,6,0)*10^-3),0)</f>
        <v>0</v>
      </c>
      <c r="J17" s="148"/>
      <c r="K17" s="633"/>
      <c r="L17" s="634"/>
      <c r="M17" s="635"/>
    </row>
    <row r="18" spans="1:13">
      <c r="A18" s="340" t="s">
        <v>3918</v>
      </c>
      <c r="B18" s="145"/>
      <c r="C18" s="164"/>
      <c r="D18" s="164"/>
      <c r="E18" s="164"/>
      <c r="F18" s="165"/>
      <c r="G18" s="164"/>
      <c r="H18" s="350">
        <v>0</v>
      </c>
      <c r="I18" s="132">
        <f>IFERROR(IF(ISBLANK(F18),((H18/1000)*'BDD FE'!C652*10^-3),G18*VLOOKUP(F18,'BDD FE'!$B$130:$H$148,6,0)*10^-3),0)</f>
        <v>0</v>
      </c>
      <c r="J18" s="148"/>
      <c r="K18" s="633"/>
      <c r="L18" s="634"/>
      <c r="M18" s="635"/>
    </row>
    <row r="19" spans="1:13">
      <c r="A19" s="340" t="s">
        <v>3436</v>
      </c>
      <c r="B19" s="145"/>
      <c r="C19" s="164"/>
      <c r="D19" s="164"/>
      <c r="E19" s="164"/>
      <c r="F19" s="165"/>
      <c r="G19" s="164"/>
      <c r="H19" s="350">
        <v>0</v>
      </c>
      <c r="I19" s="132">
        <f>IFERROR(IF(ISBLANK(F19),((H19/1000)*'BDD FE'!C653*10^-3),G19*VLOOKUP(F19,'BDD FE'!$B$130:$H$148,6,0)*10^-3),0)</f>
        <v>0</v>
      </c>
      <c r="J19" s="148"/>
      <c r="K19" s="633"/>
      <c r="L19" s="634"/>
      <c r="M19" s="635"/>
    </row>
    <row r="20" spans="1:13">
      <c r="A20" s="340" t="s">
        <v>3378</v>
      </c>
      <c r="B20" s="145"/>
      <c r="C20" s="164"/>
      <c r="D20" s="164"/>
      <c r="E20" s="164"/>
      <c r="F20" s="165"/>
      <c r="G20" s="164"/>
      <c r="H20" s="350">
        <v>0</v>
      </c>
      <c r="I20" s="132">
        <f>IFERROR(IF(ISBLANK(F20),((H20/1000)*'BDD FE'!C654*10^-3),G20*VLOOKUP(F20,'BDD FE'!$B$130:$H$148,6,0)*10^-3),0)</f>
        <v>0</v>
      </c>
      <c r="J20" s="148"/>
      <c r="K20" s="633"/>
      <c r="L20" s="634"/>
      <c r="M20" s="635"/>
    </row>
    <row r="21" spans="1:13">
      <c r="A21" s="339" t="s">
        <v>3430</v>
      </c>
      <c r="B21" s="145"/>
      <c r="C21" s="164"/>
      <c r="D21" s="164"/>
      <c r="E21" s="164"/>
      <c r="F21" s="165"/>
      <c r="G21" s="164"/>
      <c r="H21" s="350">
        <v>0</v>
      </c>
      <c r="I21" s="132">
        <f>IFERROR(IF(ISBLANK(F21),((H21/1000)*'BDD FE'!C655*10^-3),G21*VLOOKUP(F21,'BDD FE'!$B$130:$H$148,6,0)*10^-3),0)</f>
        <v>0</v>
      </c>
      <c r="J21" s="148"/>
      <c r="K21" s="633"/>
      <c r="L21" s="634"/>
      <c r="M21" s="635"/>
    </row>
    <row r="22" spans="1:13">
      <c r="A22" s="340" t="s">
        <v>3433</v>
      </c>
      <c r="B22" s="145"/>
      <c r="C22" s="164"/>
      <c r="D22" s="164"/>
      <c r="E22" s="164"/>
      <c r="F22" s="165"/>
      <c r="G22" s="164"/>
      <c r="H22" s="350">
        <v>0</v>
      </c>
      <c r="I22" s="132">
        <f>IFERROR(IF(ISBLANK(F22),((H22/1000)*'BDD FE'!C656*10^-3),G22*VLOOKUP(F22,'BDD FE'!$B$130:$H$148,6,0)*10^-3),0)</f>
        <v>0</v>
      </c>
      <c r="J22" s="148"/>
      <c r="K22" s="633"/>
      <c r="L22" s="634"/>
      <c r="M22" s="635"/>
    </row>
    <row r="23" spans="1:13" ht="15" thickBot="1">
      <c r="A23" s="340" t="s">
        <v>3428</v>
      </c>
      <c r="B23" s="145"/>
      <c r="C23" s="130"/>
      <c r="D23" s="130"/>
      <c r="E23" s="130"/>
      <c r="G23" s="111"/>
      <c r="H23" s="111"/>
      <c r="I23" s="132">
        <f>SUM(I13:I22)</f>
        <v>0</v>
      </c>
      <c r="J23" s="125"/>
      <c r="K23" s="636"/>
      <c r="L23" s="637"/>
      <c r="M23" s="638"/>
    </row>
    <row r="24" spans="1:13">
      <c r="A24" s="340" t="s">
        <v>11</v>
      </c>
      <c r="B24" s="145"/>
      <c r="C24" s="112"/>
      <c r="D24" s="112"/>
      <c r="E24" s="112"/>
      <c r="F24" s="112"/>
      <c r="G24" s="112"/>
      <c r="H24" s="112"/>
      <c r="I24" s="112"/>
      <c r="J24" s="126"/>
      <c r="K24" s="324"/>
      <c r="L24" s="325"/>
      <c r="M24" s="166"/>
    </row>
    <row r="25" spans="1:13">
      <c r="A25" s="340" t="s">
        <v>13</v>
      </c>
      <c r="B25" s="145"/>
      <c r="J25" s="149"/>
      <c r="K25" s="145"/>
      <c r="M25" s="149"/>
    </row>
    <row r="26" spans="1:13">
      <c r="B26" s="145"/>
      <c r="J26" s="149"/>
      <c r="K26" s="145"/>
      <c r="M26" s="149"/>
    </row>
    <row r="27" spans="1:13">
      <c r="B27" s="145"/>
      <c r="J27" s="149"/>
      <c r="K27" s="145"/>
      <c r="M27" s="149"/>
    </row>
    <row r="28" spans="1:13" ht="15" thickBot="1">
      <c r="B28" s="150"/>
      <c r="C28" s="151"/>
      <c r="D28" s="151"/>
      <c r="E28" s="151"/>
      <c r="F28" s="151"/>
      <c r="G28" s="151"/>
      <c r="H28" s="151"/>
      <c r="I28" s="151"/>
      <c r="J28" s="152"/>
      <c r="K28" s="150"/>
      <c r="L28" s="151"/>
      <c r="M28" s="152"/>
    </row>
    <row r="29" spans="1:13">
      <c r="K29" s="111"/>
    </row>
    <row r="30" spans="1:13">
      <c r="K30" s="111"/>
    </row>
    <row r="31" spans="1:13">
      <c r="K31" s="111"/>
    </row>
    <row r="32" spans="1:13">
      <c r="K32" s="111"/>
    </row>
  </sheetData>
  <protectedRanges>
    <protectedRange sqref="C13:H22" name="Plage1_1"/>
    <protectedRange sqref="K3" name="Plage1_1_1_1"/>
  </protectedRanges>
  <mergeCells count="11">
    <mergeCell ref="A1:A2"/>
    <mergeCell ref="K15:M23"/>
    <mergeCell ref="K8:M13"/>
    <mergeCell ref="K1:M1"/>
    <mergeCell ref="K3:M6"/>
    <mergeCell ref="B1:J1"/>
    <mergeCell ref="F11:G11"/>
    <mergeCell ref="K2:M2"/>
    <mergeCell ref="K7:M7"/>
    <mergeCell ref="K14:M14"/>
    <mergeCell ref="C4:I9"/>
  </mergeCells>
  <hyperlinks>
    <hyperlink ref="A6" location="'1_Votre Structure'!A1" display="Votre structure" xr:uid="{8C1C59C5-2B76-416E-A409-775FEE8D880E}"/>
    <hyperlink ref="A7" location="'2_ConsoEnergieEau'!A1" display="Consommation d'énergie et d'eau" xr:uid="{12FBD4D4-C967-416F-A475-44F3DC2EAA17}"/>
    <hyperlink ref="A8" location="'3_Climatisation'!A1" display="Climatisation" xr:uid="{BCEDF6A2-15DF-4593-9407-CEC71BC316E9}"/>
    <hyperlink ref="A12" location="'7_DéplacementsProfessionnels'!A1" display="Déplacements professionnels" xr:uid="{D37AB652-96DF-4139-8B0C-5C2AACD6C758}"/>
    <hyperlink ref="A13" location="'8_DéplacementsSalariés'!A1" display="Déplacements des salariés" xr:uid="{00191DB9-F3C9-4A55-8353-14AC22CF08A1}"/>
    <hyperlink ref="A17" location="'12_Equipements'!A1" display="Equipements" xr:uid="{69B8477E-D2ED-4986-861F-8476D08AEEBA}"/>
    <hyperlink ref="A10" location="'5_Déchets'!A1" display="Déchets" xr:uid="{383B3C88-E2D5-400C-AF17-537ED6ACC90E}"/>
    <hyperlink ref="A22" location="'17_TransportMatériel'!A1" display="Transport de matériel et d'œuvres" xr:uid="{CB7CC368-F1A2-49B3-BD6F-73FBC96702C3}"/>
    <hyperlink ref="A23" location="'18_ImpressionsComPapier'!A1" display="Impression et communication papier" xr:uid="{7ADDF2E2-572C-4E4E-A9CF-EB17987ECD7D}"/>
    <hyperlink ref="A24" location="'19_ComDigitale'!A1" display="Communication digitale" xr:uid="{D4512BCA-0DE2-4611-A301-C9D1D8E5F143}"/>
    <hyperlink ref="A25" location="'20_Billetterie'!A1" display="Billetterie" xr:uid="{5C2A2913-EEAD-4427-8DF9-A5C76EBC979C}"/>
    <hyperlink ref="A20" location="'15_Alimentation'!A1" display="Alimentation" xr:uid="{F72F2E93-4CC3-454A-ADD2-28A0C6C5BE7F}"/>
    <hyperlink ref="A14" location="'9_DéplacementsVisiteurs'!A1" display="Déplacements des visiteurs" xr:uid="{1D6945BE-F51B-438C-8C6D-6BA577BDA785}"/>
    <hyperlink ref="A15" location="'10_Tournées artistiques'!A1" display="Tournées artistiques" xr:uid="{F6B4FF7B-567F-49A1-B27D-C4A3524BC7A2}"/>
    <hyperlink ref="A16" location="'11_Artistes invité.e.s'!A1" display="Artistes invité.e.s" xr:uid="{D3AEF90B-863E-4378-B71D-9B99DB0572E3}"/>
    <hyperlink ref="A9" location="'4_Bâtiments,travaux, agcmt'!A1" display="Bâtiments, travaux et agencements" xr:uid="{7F550CB1-BF8F-4573-B54C-BE5AF5363897}"/>
    <hyperlink ref="A18" location="'13_Achats - Documents papiers'!A1" display="Achats - Documents papiers" xr:uid="{2340183D-FFB5-44BB-8BB1-82EE14982906}"/>
    <hyperlink ref="A21" location="'16_Autres achats (€)'!A1" display="Autres achats" xr:uid="{CD5723F9-1BB8-427E-9F9F-44E1BD049BFB}"/>
    <hyperlink ref="A19" location="'14_Décors'!A1" display="Décors" xr:uid="{6DD4DC10-A884-4DC2-A887-F81CD84E9E08}"/>
    <hyperlink ref="A11" location="'6_DéplacementsPrestations'!A1" display="Déplacements de prestations" xr:uid="{2C505AEF-C092-43D4-8BEB-C6C7498828B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FC51BFB-8FE5-442E-ABAC-6C56C46AD542}">
          <x14:formula1>
            <xm:f>'BDD FE'!$B$130:$B$148</xm:f>
          </x14:formula1>
          <xm:sqref>F13:F22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V161"/>
  <sheetViews>
    <sheetView showGridLines="0" topLeftCell="A11" zoomScale="61" zoomScaleNormal="50" workbookViewId="0">
      <selection activeCell="C5" sqref="C5:J13"/>
    </sheetView>
  </sheetViews>
  <sheetFormatPr baseColWidth="10" defaultColWidth="0" defaultRowHeight="14.5" zeroHeight="1"/>
  <cols>
    <col min="1" max="1" width="25.81640625" bestFit="1" customWidth="1"/>
    <col min="2" max="2" width="18.08984375" style="108" customWidth="1"/>
    <col min="3" max="3" width="30.6328125" style="108" customWidth="1"/>
    <col min="4" max="4" width="23.08984375" style="108" customWidth="1"/>
    <col min="5" max="5" width="21.54296875" style="108" customWidth="1"/>
    <col min="6" max="6" width="28.1796875" style="108" customWidth="1"/>
    <col min="7" max="7" width="18.08984375" style="108" customWidth="1"/>
    <col min="8" max="8" width="21.54296875" style="108" customWidth="1"/>
    <col min="9" max="9" width="31.90625" style="108" customWidth="1"/>
    <col min="10" max="10" width="35.90625" style="108" customWidth="1"/>
    <col min="11" max="12" width="18.08984375" style="108" customWidth="1"/>
    <col min="13" max="13" width="19.36328125" style="108" customWidth="1"/>
    <col min="14" max="16" width="11.1796875" customWidth="1"/>
    <col min="17" max="17" width="36.6328125" customWidth="1"/>
    <col min="18" max="18" width="11.1796875" hidden="1" customWidth="1"/>
    <col min="19" max="22" width="0" hidden="1" customWidth="1"/>
    <col min="23" max="16384" width="11.1796875" hidden="1"/>
  </cols>
  <sheetData>
    <row r="1" spans="1:17" ht="21.25" customHeight="1" thickBot="1">
      <c r="A1" s="337" t="s">
        <v>3358</v>
      </c>
      <c r="B1" s="653" t="s">
        <v>3828</v>
      </c>
      <c r="C1" s="654"/>
      <c r="D1" s="654"/>
      <c r="E1" s="654"/>
      <c r="F1" s="654"/>
      <c r="G1" s="654"/>
      <c r="H1" s="654"/>
      <c r="I1" s="654"/>
      <c r="J1" s="654"/>
      <c r="K1" s="654"/>
      <c r="L1" s="654"/>
      <c r="M1" s="654"/>
      <c r="N1" s="656" t="s">
        <v>3391</v>
      </c>
      <c r="O1" s="657"/>
      <c r="P1" s="658"/>
    </row>
    <row r="2" spans="1:17" ht="18" thickBot="1">
      <c r="A2" s="342" t="s">
        <v>3359</v>
      </c>
      <c r="B2" s="128"/>
      <c r="C2" s="156"/>
      <c r="D2" s="156"/>
      <c r="E2" s="156"/>
      <c r="F2" s="156"/>
      <c r="G2" s="503">
        <f>K39</f>
        <v>0</v>
      </c>
      <c r="I2" s="156"/>
      <c r="J2" s="156"/>
      <c r="K2" s="156"/>
      <c r="L2" s="156"/>
      <c r="M2" s="157"/>
      <c r="N2" s="613" t="s">
        <v>3457</v>
      </c>
      <c r="O2" s="614"/>
      <c r="P2" s="615"/>
    </row>
    <row r="3" spans="1:17" s="129" customFormat="1" ht="17.5">
      <c r="A3" s="338"/>
      <c r="B3" s="128"/>
      <c r="C3" s="156"/>
      <c r="D3" s="156"/>
      <c r="E3" s="156"/>
      <c r="F3" s="437"/>
      <c r="G3" s="438"/>
      <c r="H3" s="439"/>
      <c r="I3" s="156"/>
      <c r="J3" s="156"/>
      <c r="K3" s="156"/>
      <c r="L3" s="156"/>
      <c r="M3" s="157"/>
      <c r="N3" s="633"/>
      <c r="O3" s="634"/>
      <c r="P3" s="635"/>
      <c r="Q3" s="294"/>
    </row>
    <row r="4" spans="1:17" s="129" customFormat="1" ht="17.5">
      <c r="A4" s="338"/>
      <c r="B4" s="128"/>
      <c r="C4" s="446" t="s">
        <v>3431</v>
      </c>
      <c r="D4" s="156"/>
      <c r="E4" s="156"/>
      <c r="F4" s="437"/>
      <c r="G4" s="438"/>
      <c r="H4" s="439"/>
      <c r="I4" s="156"/>
      <c r="J4" s="156"/>
      <c r="K4" s="156"/>
      <c r="L4" s="156"/>
      <c r="M4" s="157"/>
      <c r="N4" s="633"/>
      <c r="O4" s="634"/>
      <c r="P4" s="635"/>
    </row>
    <row r="5" spans="1:17" s="129" customFormat="1">
      <c r="A5" s="338"/>
      <c r="B5" s="127"/>
      <c r="C5" s="663" t="s">
        <v>4059</v>
      </c>
      <c r="D5" s="664"/>
      <c r="E5" s="664"/>
      <c r="F5" s="664"/>
      <c r="G5" s="664"/>
      <c r="H5" s="664"/>
      <c r="I5" s="664"/>
      <c r="J5" s="664"/>
      <c r="K5" s="156"/>
      <c r="L5" s="156"/>
      <c r="M5" s="159"/>
      <c r="N5" s="633"/>
      <c r="O5" s="634"/>
      <c r="P5" s="635"/>
    </row>
    <row r="6" spans="1:17" s="129" customFormat="1" ht="13.25" customHeight="1">
      <c r="A6" s="341" t="s">
        <v>3357</v>
      </c>
      <c r="B6" s="127"/>
      <c r="C6" s="664"/>
      <c r="D6" s="664"/>
      <c r="E6" s="664"/>
      <c r="F6" s="664"/>
      <c r="G6" s="664"/>
      <c r="H6" s="664"/>
      <c r="I6" s="664"/>
      <c r="J6" s="664"/>
      <c r="K6" s="156"/>
      <c r="L6" s="156"/>
      <c r="M6" s="125"/>
      <c r="N6" s="639"/>
      <c r="O6" s="640"/>
      <c r="P6" s="641"/>
    </row>
    <row r="7" spans="1:17" s="129" customFormat="1" ht="13.25" customHeight="1">
      <c r="A7" s="339" t="s">
        <v>3434</v>
      </c>
      <c r="B7" s="127"/>
      <c r="C7" s="664"/>
      <c r="D7" s="664"/>
      <c r="E7" s="664"/>
      <c r="F7" s="664"/>
      <c r="G7" s="664"/>
      <c r="H7" s="664"/>
      <c r="I7" s="664"/>
      <c r="J7" s="664"/>
      <c r="K7" s="156"/>
      <c r="L7" s="156"/>
      <c r="M7" s="125"/>
      <c r="N7" s="246" t="s">
        <v>3458</v>
      </c>
      <c r="O7" s="343"/>
      <c r="P7" s="344"/>
    </row>
    <row r="8" spans="1:17" s="129" customFormat="1" ht="14.4" customHeight="1">
      <c r="A8" s="339" t="s">
        <v>7</v>
      </c>
      <c r="B8" s="127"/>
      <c r="C8" s="664"/>
      <c r="D8" s="664"/>
      <c r="E8" s="664"/>
      <c r="F8" s="664"/>
      <c r="G8" s="664"/>
      <c r="H8" s="664"/>
      <c r="I8" s="664"/>
      <c r="J8" s="664"/>
      <c r="K8" s="156"/>
      <c r="L8" s="156"/>
      <c r="M8" s="125"/>
      <c r="N8" s="633"/>
      <c r="O8" s="634"/>
      <c r="P8" s="635"/>
    </row>
    <row r="9" spans="1:17" s="129" customFormat="1" ht="14.4" customHeight="1">
      <c r="A9" s="339" t="s">
        <v>3427</v>
      </c>
      <c r="B9" s="127"/>
      <c r="C9" s="664"/>
      <c r="D9" s="664"/>
      <c r="E9" s="664"/>
      <c r="F9" s="664"/>
      <c r="G9" s="664"/>
      <c r="H9" s="664"/>
      <c r="I9" s="664"/>
      <c r="J9" s="664"/>
      <c r="K9" s="156"/>
      <c r="L9" s="156"/>
      <c r="M9" s="125"/>
      <c r="N9" s="633"/>
      <c r="O9" s="634"/>
      <c r="P9" s="635"/>
    </row>
    <row r="10" spans="1:17" s="129" customFormat="1" ht="14.4" customHeight="1">
      <c r="A10" s="340" t="s">
        <v>10</v>
      </c>
      <c r="B10" s="127"/>
      <c r="C10" s="664"/>
      <c r="D10" s="664"/>
      <c r="E10" s="664"/>
      <c r="F10" s="664"/>
      <c r="G10" s="664"/>
      <c r="H10" s="664"/>
      <c r="I10" s="664"/>
      <c r="J10" s="664"/>
      <c r="K10" s="156"/>
      <c r="L10" s="156"/>
      <c r="M10" s="125"/>
      <c r="N10" s="633"/>
      <c r="O10" s="634"/>
      <c r="P10" s="635"/>
    </row>
    <row r="11" spans="1:17" s="129" customFormat="1" ht="40.5" customHeight="1">
      <c r="A11" s="340" t="s">
        <v>3645</v>
      </c>
      <c r="B11" s="127"/>
      <c r="C11" s="664"/>
      <c r="D11" s="664"/>
      <c r="E11" s="664"/>
      <c r="F11" s="664"/>
      <c r="G11" s="664"/>
      <c r="H11" s="664"/>
      <c r="I11" s="664"/>
      <c r="J11" s="664"/>
      <c r="K11" s="156"/>
      <c r="L11" s="156"/>
      <c r="M11" s="125"/>
      <c r="N11" s="633"/>
      <c r="O11" s="634"/>
      <c r="P11" s="635"/>
    </row>
    <row r="12" spans="1:17" s="129" customFormat="1" ht="29.5" customHeight="1">
      <c r="A12" s="339" t="s">
        <v>3431</v>
      </c>
      <c r="B12" s="127"/>
      <c r="C12" s="664"/>
      <c r="D12" s="664"/>
      <c r="E12" s="664"/>
      <c r="F12" s="664"/>
      <c r="G12" s="664"/>
      <c r="H12" s="664"/>
      <c r="I12" s="664"/>
      <c r="J12" s="664"/>
      <c r="K12" s="156"/>
      <c r="L12" s="156"/>
      <c r="M12" s="125"/>
      <c r="N12" s="633"/>
      <c r="O12" s="634"/>
      <c r="P12" s="635"/>
      <c r="Q12" s="294"/>
    </row>
    <row r="13" spans="1:17" s="129" customFormat="1" ht="14">
      <c r="A13" s="340" t="s">
        <v>5</v>
      </c>
      <c r="B13" s="127"/>
      <c r="C13" s="664"/>
      <c r="D13" s="664"/>
      <c r="E13" s="664"/>
      <c r="F13" s="664"/>
      <c r="G13" s="664"/>
      <c r="H13" s="664"/>
      <c r="I13" s="664"/>
      <c r="J13" s="664"/>
      <c r="K13" s="156"/>
      <c r="L13" s="156"/>
      <c r="M13" s="125"/>
      <c r="N13" s="633"/>
      <c r="O13" s="634"/>
      <c r="P13" s="635"/>
    </row>
    <row r="14" spans="1:17" s="129" customFormat="1" ht="13.25" customHeight="1">
      <c r="A14" s="339" t="s">
        <v>6</v>
      </c>
      <c r="B14" s="127"/>
      <c r="C14" s="300"/>
      <c r="D14" s="300"/>
      <c r="E14" s="300"/>
      <c r="F14" s="300"/>
      <c r="G14" s="300"/>
      <c r="H14" s="300"/>
      <c r="I14" s="300"/>
      <c r="J14" s="300"/>
      <c r="K14" s="156"/>
      <c r="L14" s="156"/>
      <c r="M14" s="125"/>
      <c r="N14" s="633"/>
      <c r="O14" s="634"/>
      <c r="P14" s="635"/>
    </row>
    <row r="15" spans="1:17" s="129" customFormat="1" ht="46.75" customHeight="1">
      <c r="A15" s="340" t="s">
        <v>12</v>
      </c>
      <c r="B15" s="127"/>
      <c r="C15" s="300"/>
      <c r="D15" s="300"/>
      <c r="E15" s="300"/>
      <c r="F15" s="659" t="s">
        <v>3420</v>
      </c>
      <c r="G15" s="660"/>
      <c r="H15" s="650" t="s">
        <v>3900</v>
      </c>
      <c r="I15" s="650"/>
      <c r="J15" s="650"/>
      <c r="K15" s="445"/>
      <c r="M15" s="125"/>
      <c r="N15" s="633"/>
      <c r="O15" s="634"/>
      <c r="P15" s="635"/>
    </row>
    <row r="16" spans="1:17" s="129" customFormat="1" ht="78" customHeight="1">
      <c r="A16" s="340" t="s">
        <v>14</v>
      </c>
      <c r="B16" s="127"/>
      <c r="C16" s="300"/>
      <c r="D16" s="300"/>
      <c r="E16" s="300"/>
      <c r="F16" s="661"/>
      <c r="G16" s="662"/>
      <c r="H16" s="188" t="s">
        <v>3902</v>
      </c>
      <c r="I16" s="650" t="s">
        <v>3901</v>
      </c>
      <c r="J16" s="650"/>
      <c r="K16" s="445"/>
      <c r="M16" s="125"/>
      <c r="N16" s="633"/>
      <c r="O16" s="634"/>
      <c r="P16" s="635"/>
    </row>
    <row r="17" spans="1:22" s="129" customFormat="1" ht="72.650000000000006" customHeight="1">
      <c r="A17" s="339" t="s">
        <v>3426</v>
      </c>
      <c r="B17" s="127"/>
      <c r="C17" s="300"/>
      <c r="D17" s="117" t="s">
        <v>89</v>
      </c>
      <c r="E17" s="397" t="s">
        <v>3829</v>
      </c>
      <c r="F17" s="117" t="s">
        <v>79</v>
      </c>
      <c r="G17" s="289" t="s">
        <v>3463</v>
      </c>
      <c r="H17" s="397" t="s">
        <v>117</v>
      </c>
      <c r="I17" s="289" t="s">
        <v>3402</v>
      </c>
      <c r="J17" s="289" t="s">
        <v>3403</v>
      </c>
      <c r="K17" s="117" t="s">
        <v>80</v>
      </c>
      <c r="M17" s="125"/>
      <c r="N17" s="633"/>
      <c r="O17" s="634"/>
      <c r="P17" s="635"/>
    </row>
    <row r="18" spans="1:22" s="129" customFormat="1" ht="13.25" customHeight="1">
      <c r="A18" s="340" t="s">
        <v>3918</v>
      </c>
      <c r="B18" s="127"/>
      <c r="C18" s="300"/>
      <c r="D18" s="165"/>
      <c r="E18" s="165"/>
      <c r="F18" s="165"/>
      <c r="G18" s="164"/>
      <c r="H18" s="164"/>
      <c r="I18" s="282"/>
      <c r="J18" s="282"/>
      <c r="K18" s="132">
        <f>IFERROR(IF(E18="Oui",IF(ISBLANK(F18),H18*VLOOKUP(D18,'BDD FE'!$B$130:$E$148,4,FALSE)*10^-3*IF(ISBLANK(I18),IF(ISBLANK(J18),1,J18),I18),'7_DéplacementsProfessionnels'!G18*VLOOKUP('7_DéplacementsProfessionnels'!F18,'BDD FE'!$B$109:$C$119,2,FALSE)*10^-3),IF(ISBLANK(F18),H18*VLOOKUP(D18,'BDD FE'!$B$130:$G$148,6,FALSE)*10^-3*IF(ISBLANK(I18),IF(ISBLANK(J18),1,J18),I18),'7_DéplacementsProfessionnels'!G18*VLOOKUP('7_DéplacementsProfessionnels'!F18,'BDD FE'!$B$109:$C$119,2,FALSE)*10^-3)),0)</f>
        <v>0</v>
      </c>
      <c r="M18" s="125"/>
      <c r="N18" s="633"/>
      <c r="O18" s="634"/>
      <c r="P18" s="635"/>
    </row>
    <row r="19" spans="1:22" s="129" customFormat="1" ht="13.25" customHeight="1">
      <c r="A19" s="340" t="s">
        <v>3436</v>
      </c>
      <c r="B19" s="127"/>
      <c r="C19" s="300"/>
      <c r="D19" s="165"/>
      <c r="E19" s="165"/>
      <c r="F19" s="165"/>
      <c r="G19" s="164"/>
      <c r="H19" s="164"/>
      <c r="I19" s="282"/>
      <c r="J19" s="282"/>
      <c r="K19" s="132">
        <f>IFERROR(IF(E19="Oui",IF(ISBLANK(F19),H19*VLOOKUP(D19,'BDD FE'!$B$130:$E$148,4,FALSE)*10^-3*IF(ISBLANK(I19),IF(ISBLANK(J19),1,J19),I19),'7_DéplacementsProfessionnels'!G19*VLOOKUP('7_DéplacementsProfessionnels'!F19,'BDD FE'!$B$109:$C$119,2,FALSE)*10^-3),IF(ISBLANK(F19),H19*VLOOKUP(D19,'BDD FE'!$B$130:$G$148,6,FALSE)*10^-3*IF(ISBLANK(I19),IF(ISBLANK(J19),1,J19),I19),'7_DéplacementsProfessionnels'!G19*VLOOKUP('7_DéplacementsProfessionnels'!F19,'BDD FE'!$B$109:$C$119,2,FALSE)*10^-3)),0)</f>
        <v>0</v>
      </c>
      <c r="M19" s="125"/>
      <c r="N19" s="633"/>
      <c r="O19" s="634"/>
      <c r="P19" s="635"/>
    </row>
    <row r="20" spans="1:22" s="129" customFormat="1" ht="13.25" customHeight="1">
      <c r="A20" s="340" t="s">
        <v>3378</v>
      </c>
      <c r="B20" s="127"/>
      <c r="C20" s="300"/>
      <c r="D20" s="165"/>
      <c r="E20" s="165"/>
      <c r="F20" s="165"/>
      <c r="G20" s="164"/>
      <c r="H20" s="164"/>
      <c r="I20" s="282"/>
      <c r="J20" s="282"/>
      <c r="K20" s="132">
        <f>IFERROR(IF(E20="Oui",IF(ISBLANK(F20),H20*VLOOKUP(D20,'BDD FE'!$B$130:$E$148,4,FALSE)*10^-3*IF(ISBLANK(I20),IF(ISBLANK(J20),1,J20),I20),'7_DéplacementsProfessionnels'!G20*VLOOKUP('7_DéplacementsProfessionnels'!F20,'BDD FE'!$B$109:$C$119,2,FALSE)*10^-3),IF(ISBLANK(F20),H20*VLOOKUP(D20,'BDD FE'!$B$130:$G$148,6,FALSE)*10^-3*IF(ISBLANK(I20),IF(ISBLANK(J20),1,J20),I20),'7_DéplacementsProfessionnels'!G20*VLOOKUP('7_DéplacementsProfessionnels'!F20,'BDD FE'!$B$109:$C$119,2,FALSE)*10^-3)),0)</f>
        <v>0</v>
      </c>
      <c r="M20" s="125"/>
      <c r="N20" s="633"/>
      <c r="O20" s="634"/>
      <c r="P20" s="635"/>
    </row>
    <row r="21" spans="1:22" s="129" customFormat="1" ht="13.25" customHeight="1">
      <c r="A21" s="339" t="s">
        <v>3430</v>
      </c>
      <c r="B21" s="127"/>
      <c r="C21" s="300"/>
      <c r="D21" s="165"/>
      <c r="E21" s="165"/>
      <c r="F21" s="165"/>
      <c r="G21" s="164"/>
      <c r="H21" s="164"/>
      <c r="I21" s="282"/>
      <c r="J21" s="282"/>
      <c r="K21" s="132">
        <f>IFERROR(IF(E21="Oui",IF(ISBLANK(F21),H21*VLOOKUP(D21,'BDD FE'!$B$130:$E$148,4,FALSE)*10^-3*IF(ISBLANK(I21),IF(ISBLANK(J21),1,J21),I21),'7_DéplacementsProfessionnels'!G21*VLOOKUP('7_DéplacementsProfessionnels'!F21,'BDD FE'!$B$109:$C$119,2,FALSE)*10^-3),IF(ISBLANK(F21),H21*VLOOKUP(D21,'BDD FE'!$B$130:$G$148,6,FALSE)*10^-3*IF(ISBLANK(I21),IF(ISBLANK(J21),1,J21),I21),'7_DéplacementsProfessionnels'!G21*VLOOKUP('7_DéplacementsProfessionnels'!F21,'BDD FE'!$B$109:$C$119,2,FALSE)*10^-3)),0)</f>
        <v>0</v>
      </c>
      <c r="M21" s="125"/>
      <c r="N21" s="633"/>
      <c r="O21" s="634"/>
      <c r="P21" s="635"/>
    </row>
    <row r="22" spans="1:22" s="129" customFormat="1" ht="14.4" customHeight="1">
      <c r="A22" s="340" t="s">
        <v>3433</v>
      </c>
      <c r="B22" s="127"/>
      <c r="C22" s="300"/>
      <c r="D22" s="165"/>
      <c r="E22" s="165"/>
      <c r="F22" s="165"/>
      <c r="G22" s="164"/>
      <c r="H22" s="164"/>
      <c r="I22" s="282"/>
      <c r="J22" s="282"/>
      <c r="K22" s="132">
        <f>IFERROR(IF(E22="Oui",IF(ISBLANK(F22),H22*VLOOKUP(D22,'BDD FE'!$B$130:$E$148,4,FALSE)*10^-3*IF(ISBLANK(I22),IF(ISBLANK(J22),1,J22),I22),'7_DéplacementsProfessionnels'!G22*VLOOKUP('7_DéplacementsProfessionnels'!F22,'BDD FE'!$B$109:$C$119,2,FALSE)*10^-3),IF(ISBLANK(F22),H22*VLOOKUP(D22,'BDD FE'!$B$130:$G$148,6,FALSE)*10^-3*IF(ISBLANK(I22),IF(ISBLANK(J22),1,J22),I22),'7_DéplacementsProfessionnels'!G22*VLOOKUP('7_DéplacementsProfessionnels'!F22,'BDD FE'!$B$109:$C$119,2,FALSE)*10^-3)),0)</f>
        <v>0</v>
      </c>
      <c r="M22" s="125"/>
      <c r="N22" s="633"/>
      <c r="O22" s="634"/>
      <c r="P22" s="635"/>
    </row>
    <row r="23" spans="1:22" s="129" customFormat="1" ht="14.4" customHeight="1">
      <c r="A23" s="340" t="s">
        <v>3428</v>
      </c>
      <c r="B23" s="127"/>
      <c r="C23" s="300"/>
      <c r="D23" s="165"/>
      <c r="E23" s="165"/>
      <c r="F23" s="165"/>
      <c r="G23" s="164"/>
      <c r="H23" s="164"/>
      <c r="I23" s="282"/>
      <c r="J23" s="282"/>
      <c r="K23" s="132">
        <f>IFERROR(IF(E23="Oui",IF(ISBLANK(F23),H23*VLOOKUP(D23,'BDD FE'!$B$130:$E$148,4,FALSE)*10^-3*IF(ISBLANK(I23),IF(ISBLANK(J23),1,J23),I23),'7_DéplacementsProfessionnels'!G23*VLOOKUP('7_DéplacementsProfessionnels'!F23,'BDD FE'!$B$109:$C$119,2,FALSE)*10^-3),IF(ISBLANK(F23),H23*VLOOKUP(D23,'BDD FE'!$B$130:$G$148,6,FALSE)*10^-3*IF(ISBLANK(I23),IF(ISBLANK(J23),1,J23),I23),'7_DéplacementsProfessionnels'!G23*VLOOKUP('7_DéplacementsProfessionnels'!F23,'BDD FE'!$B$109:$C$119,2,FALSE)*10^-3)),0)</f>
        <v>0</v>
      </c>
      <c r="M23" s="125"/>
      <c r="N23" s="633"/>
      <c r="O23" s="634"/>
      <c r="P23" s="635"/>
    </row>
    <row r="24" spans="1:22" s="129" customFormat="1" ht="14.4" customHeight="1">
      <c r="A24" s="340" t="s">
        <v>11</v>
      </c>
      <c r="B24" s="127"/>
      <c r="C24" s="300"/>
      <c r="D24" s="165"/>
      <c r="E24" s="165"/>
      <c r="F24" s="165"/>
      <c r="G24" s="164"/>
      <c r="H24" s="164"/>
      <c r="I24" s="282"/>
      <c r="J24" s="282"/>
      <c r="K24" s="132">
        <f>IFERROR(IF(E24="Oui",IF(ISBLANK(F24),H24*VLOOKUP(D24,'BDD FE'!$B$130:$E$148,4,FALSE)*10^-3*IF(ISBLANK(I24),IF(ISBLANK(J24),1,J24),I24),'7_DéplacementsProfessionnels'!G24*VLOOKUP('7_DéplacementsProfessionnels'!F24,'BDD FE'!$B$109:$C$119,2,FALSE)*10^-3),IF(ISBLANK(F24),H24*VLOOKUP(D24,'BDD FE'!$B$130:$G$148,6,FALSE)*10^-3*IF(ISBLANK(I24),IF(ISBLANK(J24),1,J24),I24),'7_DéplacementsProfessionnels'!G24*VLOOKUP('7_DéplacementsProfessionnels'!F24,'BDD FE'!$B$109:$C$119,2,FALSE)*10^-3)),0)</f>
        <v>0</v>
      </c>
      <c r="M24" s="125"/>
      <c r="N24" s="633"/>
      <c r="O24" s="634"/>
      <c r="P24" s="635"/>
    </row>
    <row r="25" spans="1:22" s="129" customFormat="1" ht="14.4" customHeight="1">
      <c r="A25" s="340" t="s">
        <v>13</v>
      </c>
      <c r="B25" s="127"/>
      <c r="C25" s="300"/>
      <c r="D25" s="165"/>
      <c r="E25" s="165"/>
      <c r="F25" s="165"/>
      <c r="G25" s="164"/>
      <c r="H25" s="164"/>
      <c r="I25" s="282"/>
      <c r="J25" s="282"/>
      <c r="K25" s="132">
        <f>IFERROR(IF(E25="Oui",IF(ISBLANK(F25),H25*VLOOKUP(D25,'BDD FE'!$B$130:$E$148,4,FALSE)*10^-3*IF(ISBLANK(I25),IF(ISBLANK(J25),1,J25),I25),'7_DéplacementsProfessionnels'!G25*VLOOKUP('7_DéplacementsProfessionnels'!F25,'BDD FE'!$B$109:$C$119,2,FALSE)*10^-3),IF(ISBLANK(F25),H25*VLOOKUP(D25,'BDD FE'!$B$130:$G$148,6,FALSE)*10^-3*IF(ISBLANK(I25),IF(ISBLANK(J25),1,J25),I25),'7_DéplacementsProfessionnels'!G25*VLOOKUP('7_DéplacementsProfessionnels'!F25,'BDD FE'!$B$109:$C$119,2,FALSE)*10^-3)),0)</f>
        <v>0</v>
      </c>
      <c r="M25" s="125"/>
      <c r="N25" s="633"/>
      <c r="O25" s="634"/>
      <c r="P25" s="635"/>
    </row>
    <row r="26" spans="1:22" s="129" customFormat="1">
      <c r="A26"/>
      <c r="B26" s="127"/>
      <c r="C26" s="300"/>
      <c r="D26" s="165"/>
      <c r="E26" s="165"/>
      <c r="F26" s="165"/>
      <c r="G26" s="164"/>
      <c r="H26" s="164"/>
      <c r="I26" s="282"/>
      <c r="J26" s="282"/>
      <c r="K26" s="132">
        <f>IFERROR(IF(E26="Oui",IF(ISBLANK(F26),H26*VLOOKUP(D26,'BDD FE'!$B$130:$E$148,4,FALSE)*10^-3*IF(ISBLANK(I26),IF(ISBLANK(J26),1,J26),I26),'7_DéplacementsProfessionnels'!G26*VLOOKUP('7_DéplacementsProfessionnels'!F26,'BDD FE'!$B$109:$C$119,2,FALSE)*10^-3),IF(ISBLANK(F26),H26*VLOOKUP(D26,'BDD FE'!$B$130:$G$148,6,FALSE)*10^-3*IF(ISBLANK(I26),IF(ISBLANK(J26),1,J26),I26),'7_DéplacementsProfessionnels'!G26*VLOOKUP('7_DéplacementsProfessionnels'!F26,'BDD FE'!$B$109:$C$119,2,FALSE)*10^-3)),0)</f>
        <v>0</v>
      </c>
      <c r="M26" s="125"/>
      <c r="N26" s="639"/>
      <c r="O26" s="640"/>
      <c r="P26" s="641"/>
    </row>
    <row r="27" spans="1:22" s="129" customFormat="1" ht="14.4" customHeight="1">
      <c r="A27"/>
      <c r="B27" s="127"/>
      <c r="C27" s="300"/>
      <c r="D27" s="165"/>
      <c r="E27" s="165"/>
      <c r="F27" s="165"/>
      <c r="G27" s="164"/>
      <c r="H27" s="164"/>
      <c r="I27" s="282"/>
      <c r="J27" s="282"/>
      <c r="K27" s="132">
        <f>IFERROR(IF(E27="Oui",IF(ISBLANK(F27),H27*VLOOKUP(D27,'BDD FE'!$B$130:$E$148,4,FALSE)*10^-3*IF(ISBLANK(I27),IF(ISBLANK(J27),1,J27),I27),'7_DéplacementsProfessionnels'!G27*VLOOKUP('7_DéplacementsProfessionnels'!F27,'BDD FE'!$B$109:$C$119,2,FALSE)*10^-3),IF(ISBLANK(F27),H27*VLOOKUP(D27,'BDD FE'!$B$130:$G$148,6,FALSE)*10^-3*IF(ISBLANK(I27),IF(ISBLANK(J27),1,J27),I27),'7_DéplacementsProfessionnels'!G27*VLOOKUP('7_DéplacementsProfessionnels'!F27,'BDD FE'!$B$109:$C$119,2,FALSE)*10^-3)),0)</f>
        <v>0</v>
      </c>
      <c r="M27" s="125"/>
      <c r="N27" s="613" t="s">
        <v>3459</v>
      </c>
      <c r="O27" s="614"/>
      <c r="P27" s="615"/>
    </row>
    <row r="28" spans="1:22" s="129" customFormat="1">
      <c r="A28"/>
      <c r="B28" s="127"/>
      <c r="C28" s="300"/>
      <c r="D28" s="165"/>
      <c r="E28" s="165"/>
      <c r="F28" s="165"/>
      <c r="G28" s="164"/>
      <c r="H28" s="164"/>
      <c r="I28" s="282"/>
      <c r="J28" s="282"/>
      <c r="K28" s="132">
        <f>IFERROR(IF(E28="Oui",IF(ISBLANK(F28),H28*VLOOKUP(D28,'BDD FE'!$B$130:$E$148,4,FALSE)*10^-3*IF(ISBLANK(I28),IF(ISBLANK(J28),1,J28),I28),'7_DéplacementsProfessionnels'!G28*VLOOKUP('7_DéplacementsProfessionnels'!F28,'BDD FE'!$B$109:$C$119,2,FALSE)*10^-3),IF(ISBLANK(F28),H28*VLOOKUP(D28,'BDD FE'!$B$130:$G$148,6,FALSE)*10^-3*IF(ISBLANK(I28),IF(ISBLANK(J28),1,J28),I28),'7_DéplacementsProfessionnels'!G28*VLOOKUP('7_DéplacementsProfessionnels'!F28,'BDD FE'!$B$109:$C$119,2,FALSE)*10^-3)),0)</f>
        <v>0</v>
      </c>
      <c r="M28" s="125"/>
      <c r="N28" s="633"/>
      <c r="O28" s="634"/>
      <c r="P28" s="635"/>
    </row>
    <row r="29" spans="1:22" s="129" customFormat="1">
      <c r="A29"/>
      <c r="B29" s="127"/>
      <c r="C29" s="300"/>
      <c r="D29" s="165"/>
      <c r="E29" s="165"/>
      <c r="F29" s="165"/>
      <c r="G29" s="164"/>
      <c r="H29" s="164"/>
      <c r="I29" s="282"/>
      <c r="J29" s="282"/>
      <c r="K29" s="132">
        <f>IFERROR(IF(E29="Oui",IF(ISBLANK(F29),H29*VLOOKUP(D29,'BDD FE'!$B$130:$E$148,4,FALSE)*10^-3*IF(ISBLANK(I29),IF(ISBLANK(J29),1,J29),I29),'7_DéplacementsProfessionnels'!G29*VLOOKUP('7_DéplacementsProfessionnels'!F29,'BDD FE'!$B$109:$C$119,2,FALSE)*10^-3),IF(ISBLANK(F29),H29*VLOOKUP(D29,'BDD FE'!$B$130:$G$148,6,FALSE)*10^-3*IF(ISBLANK(I29),IF(ISBLANK(J29),1,J29),I29),'7_DéplacementsProfessionnels'!G29*VLOOKUP('7_DéplacementsProfessionnels'!F29,'BDD FE'!$B$109:$C$119,2,FALSE)*10^-3)),0)</f>
        <v>0</v>
      </c>
      <c r="M29" s="125"/>
      <c r="N29" s="633"/>
      <c r="O29" s="634"/>
      <c r="P29" s="635"/>
    </row>
    <row r="30" spans="1:22" s="129" customFormat="1">
      <c r="A30"/>
      <c r="B30" s="127"/>
      <c r="C30" s="300"/>
      <c r="D30" s="165"/>
      <c r="E30" s="165"/>
      <c r="F30" s="165"/>
      <c r="G30" s="164"/>
      <c r="H30" s="164"/>
      <c r="I30" s="282"/>
      <c r="J30" s="282"/>
      <c r="K30" s="132">
        <f>IFERROR(IF(E30="Oui",IF(ISBLANK(F30),H30*VLOOKUP(D30,'BDD FE'!$B$130:$E$148,4,FALSE)*10^-3*IF(ISBLANK(I30),IF(ISBLANK(J30),1,J30),I30),'7_DéplacementsProfessionnels'!G30*VLOOKUP('7_DéplacementsProfessionnels'!F30,'BDD FE'!$B$109:$C$119,2,FALSE)*10^-3),IF(ISBLANK(F30),H30*VLOOKUP(D30,'BDD FE'!$B$130:$G$148,6,FALSE)*10^-3*IF(ISBLANK(I30),IF(ISBLANK(J30),1,J30),I30),'7_DéplacementsProfessionnels'!G30*VLOOKUP('7_DéplacementsProfessionnels'!F30,'BDD FE'!$B$109:$C$119,2,FALSE)*10^-3)),0)</f>
        <v>0</v>
      </c>
      <c r="M30" s="125"/>
      <c r="N30" s="633"/>
      <c r="O30" s="634"/>
      <c r="P30" s="635"/>
    </row>
    <row r="31" spans="1:22" s="129" customFormat="1">
      <c r="A31"/>
      <c r="B31" s="127"/>
      <c r="C31" s="300"/>
      <c r="D31" s="165"/>
      <c r="E31" s="165"/>
      <c r="F31" s="165"/>
      <c r="G31" s="164"/>
      <c r="H31" s="164"/>
      <c r="I31" s="282"/>
      <c r="J31" s="282"/>
      <c r="K31" s="132">
        <f>IFERROR(IF(E31="Oui",IF(ISBLANK(F31),H31*VLOOKUP(D31,'BDD FE'!$B$130:$E$148,4,FALSE)*10^-3*IF(ISBLANK(I31),IF(ISBLANK(J31),1,J31),I31),'7_DéplacementsProfessionnels'!G31*VLOOKUP('7_DéplacementsProfessionnels'!F31,'BDD FE'!$B$109:$C$119,2,FALSE)*10^-3),IF(ISBLANK(F31),H31*VLOOKUP(D31,'BDD FE'!$B$130:$G$148,6,FALSE)*10^-3*IF(ISBLANK(I31),IF(ISBLANK(J31),1,J31),I31),'7_DéplacementsProfessionnels'!G31*VLOOKUP('7_DéplacementsProfessionnels'!F31,'BDD FE'!$B$109:$C$119,2,FALSE)*10^-3)),0)</f>
        <v>0</v>
      </c>
      <c r="M31" s="125"/>
      <c r="N31" s="633"/>
      <c r="O31" s="634"/>
      <c r="P31" s="635"/>
      <c r="Q31" s="330"/>
      <c r="R31" s="330"/>
      <c r="S31" s="330"/>
      <c r="T31" s="330"/>
      <c r="U31" s="330"/>
      <c r="V31" s="330"/>
    </row>
    <row r="32" spans="1:22" s="129" customFormat="1" ht="14.4" customHeight="1">
      <c r="A32"/>
      <c r="B32" s="127"/>
      <c r="C32" s="300"/>
      <c r="D32" s="165"/>
      <c r="E32" s="165"/>
      <c r="F32" s="165"/>
      <c r="G32" s="164"/>
      <c r="H32" s="164"/>
      <c r="I32" s="282"/>
      <c r="J32" s="282"/>
      <c r="K32" s="132">
        <f>IFERROR(IF(E32="Oui",IF(ISBLANK(F32),H32*VLOOKUP(D32,'BDD FE'!$B$130:$E$148,4,FALSE)*10^-3*IF(ISBLANK(I32),IF(ISBLANK(J32),1,J32),I32),'7_DéplacementsProfessionnels'!G32*VLOOKUP('7_DéplacementsProfessionnels'!F32,'BDD FE'!$B$109:$C$119,2,FALSE)*10^-3),IF(ISBLANK(F32),H32*VLOOKUP(D32,'BDD FE'!$B$130:$G$148,6,FALSE)*10^-3*IF(ISBLANK(I32),IF(ISBLANK(J32),1,J32),I32),'7_DéplacementsProfessionnels'!G32*VLOOKUP('7_DéplacementsProfessionnels'!F32,'BDD FE'!$B$109:$C$119,2,FALSE)*10^-3)),0)</f>
        <v>0</v>
      </c>
      <c r="M32" s="125"/>
      <c r="N32" s="633"/>
      <c r="O32" s="634"/>
      <c r="P32" s="635"/>
      <c r="Q32" s="330"/>
      <c r="R32" s="330"/>
      <c r="S32" s="330"/>
      <c r="T32" s="330"/>
      <c r="U32" s="330"/>
      <c r="V32" s="330"/>
    </row>
    <row r="33" spans="1:22" s="129" customFormat="1">
      <c r="A33"/>
      <c r="B33" s="127"/>
      <c r="C33" s="300"/>
      <c r="D33" s="165"/>
      <c r="E33" s="165"/>
      <c r="F33" s="165"/>
      <c r="G33" s="164"/>
      <c r="H33" s="164"/>
      <c r="I33" s="282"/>
      <c r="J33" s="282"/>
      <c r="K33" s="132">
        <f>IFERROR(IF(E33="Oui",IF(ISBLANK(F33),H33*VLOOKUP(D33,'BDD FE'!$B$130:$E$148,4,FALSE)*10^-3*IF(ISBLANK(I33),IF(ISBLANK(J33),1,J33),I33),'7_DéplacementsProfessionnels'!G33*VLOOKUP('7_DéplacementsProfessionnels'!F33,'BDD FE'!$B$109:$C$119,2,FALSE)*10^-3),IF(ISBLANK(F33),H33*VLOOKUP(D33,'BDD FE'!$B$130:$G$148,6,FALSE)*10^-3*IF(ISBLANK(I33),IF(ISBLANK(J33),1,J33),I33),'7_DéplacementsProfessionnels'!G33*VLOOKUP('7_DéplacementsProfessionnels'!F33,'BDD FE'!$B$109:$C$119,2,FALSE)*10^-3)),0)</f>
        <v>0</v>
      </c>
      <c r="M33" s="125"/>
      <c r="N33" s="633"/>
      <c r="O33" s="634"/>
      <c r="P33" s="635"/>
      <c r="Q33" s="330"/>
      <c r="R33" s="330"/>
      <c r="S33" s="330"/>
      <c r="T33" s="330"/>
      <c r="U33" s="330"/>
      <c r="V33" s="330"/>
    </row>
    <row r="34" spans="1:22" s="129" customFormat="1">
      <c r="A34"/>
      <c r="B34" s="127"/>
      <c r="C34" s="300"/>
      <c r="D34" s="165"/>
      <c r="E34" s="165"/>
      <c r="F34" s="165"/>
      <c r="G34" s="164"/>
      <c r="H34" s="164"/>
      <c r="I34" s="282"/>
      <c r="J34" s="282"/>
      <c r="K34" s="132">
        <f>IFERROR(IF(E34="Oui",IF(ISBLANK(F34),H34*VLOOKUP(D34,'BDD FE'!$B$130:$E$148,4,FALSE)*10^-3*IF(ISBLANK(I34),IF(ISBLANK(J34),1,J34),I34),'7_DéplacementsProfessionnels'!G34*VLOOKUP('7_DéplacementsProfessionnels'!F34,'BDD FE'!$B$109:$C$119,2,FALSE)*10^-3),IF(ISBLANK(F34),H34*VLOOKUP(D34,'BDD FE'!$B$130:$G$148,6,FALSE)*10^-3*IF(ISBLANK(I34),IF(ISBLANK(J34),1,J34),I34),'7_DéplacementsProfessionnels'!G34*VLOOKUP('7_DéplacementsProfessionnels'!F34,'BDD FE'!$B$109:$C$119,2,FALSE)*10^-3)),0)</f>
        <v>0</v>
      </c>
      <c r="M34" s="125"/>
      <c r="N34" s="633"/>
      <c r="O34" s="634"/>
      <c r="P34" s="635"/>
      <c r="Q34" s="330"/>
      <c r="R34" s="330"/>
      <c r="S34" s="330"/>
      <c r="T34" s="330"/>
      <c r="U34" s="330"/>
      <c r="V34" s="330"/>
    </row>
    <row r="35" spans="1:22" s="129" customFormat="1">
      <c r="A35"/>
      <c r="B35" s="127"/>
      <c r="C35" s="300"/>
      <c r="D35" s="165"/>
      <c r="E35" s="165"/>
      <c r="F35" s="165"/>
      <c r="G35" s="164"/>
      <c r="H35" s="164"/>
      <c r="I35" s="282"/>
      <c r="J35" s="282"/>
      <c r="K35" s="132">
        <f>IFERROR(IF(E35="Oui",IF(ISBLANK(F35),H35*VLOOKUP(D35,'BDD FE'!$B$130:$E$148,4,FALSE)*10^-3*IF(ISBLANK(I35),IF(ISBLANK(J35),1,J35),I35),'7_DéplacementsProfessionnels'!G35*VLOOKUP('7_DéplacementsProfessionnels'!F35,'BDD FE'!$B$109:$C$119,2,FALSE)*10^-3),IF(ISBLANK(F35),H35*VLOOKUP(D35,'BDD FE'!$B$130:$G$148,6,FALSE)*10^-3*IF(ISBLANK(I35),IF(ISBLANK(J35),1,J35),I35),'7_DéplacementsProfessionnels'!G35*VLOOKUP('7_DéplacementsProfessionnels'!F35,'BDD FE'!$B$109:$C$119,2,FALSE)*10^-3)),0)</f>
        <v>0</v>
      </c>
      <c r="M35" s="125"/>
      <c r="N35" s="633"/>
      <c r="O35" s="634"/>
      <c r="P35" s="635"/>
      <c r="Q35" s="330"/>
      <c r="R35" s="330"/>
      <c r="S35" s="330"/>
      <c r="T35" s="330"/>
      <c r="U35" s="330"/>
      <c r="V35" s="330"/>
    </row>
    <row r="36" spans="1:22" s="129" customFormat="1">
      <c r="A36"/>
      <c r="B36" s="127"/>
      <c r="C36" s="300"/>
      <c r="D36" s="165"/>
      <c r="E36" s="165"/>
      <c r="F36" s="165"/>
      <c r="G36" s="164"/>
      <c r="H36" s="164"/>
      <c r="I36" s="282"/>
      <c r="J36" s="282"/>
      <c r="K36" s="132">
        <f>IFERROR(IF(E36="Oui",IF(ISBLANK(F36),H36*VLOOKUP(D36,'BDD FE'!$B$130:$E$148,4,FALSE)*10^-3*IF(ISBLANK(I36),IF(ISBLANK(J36),1,J36),I36),'7_DéplacementsProfessionnels'!G36*VLOOKUP('7_DéplacementsProfessionnels'!F36,'BDD FE'!$B$109:$C$119,2,FALSE)*10^-3),IF(ISBLANK(F36),H36*VLOOKUP(D36,'BDD FE'!$B$130:$G$148,6,FALSE)*10^-3*IF(ISBLANK(I36),IF(ISBLANK(J36),1,J36),I36),'7_DéplacementsProfessionnels'!G36*VLOOKUP('7_DéplacementsProfessionnels'!F36,'BDD FE'!$B$109:$C$119,2,FALSE)*10^-3)),0)</f>
        <v>0</v>
      </c>
      <c r="M36" s="125"/>
      <c r="N36" s="633"/>
      <c r="O36" s="634"/>
      <c r="P36" s="635"/>
      <c r="Q36" s="330"/>
      <c r="R36" s="330"/>
      <c r="S36" s="330"/>
      <c r="T36" s="330"/>
      <c r="U36" s="330"/>
      <c r="V36" s="330"/>
    </row>
    <row r="37" spans="1:22" s="129" customFormat="1">
      <c r="A37"/>
      <c r="B37" s="127"/>
      <c r="C37" s="111"/>
      <c r="D37" s="165"/>
      <c r="E37" s="165"/>
      <c r="F37" s="165"/>
      <c r="G37" s="164"/>
      <c r="H37" s="164"/>
      <c r="I37" s="282"/>
      <c r="J37" s="282"/>
      <c r="K37" s="132">
        <f>IFERROR(IF(E37="Oui",IF(ISBLANK(F37),H37*VLOOKUP(D37,'BDD FE'!$B$130:$E$148,4,FALSE)*10^-3*IF(ISBLANK(I37),IF(ISBLANK(J37),1,J37),I37),'7_DéplacementsProfessionnels'!G37*VLOOKUP('7_DéplacementsProfessionnels'!F37,'BDD FE'!$B$109:$C$119,2,FALSE)*10^-3),IF(ISBLANK(F37),H37*VLOOKUP(D37,'BDD FE'!$B$130:$G$148,6,FALSE)*10^-3*IF(ISBLANK(I37),IF(ISBLANK(J37),1,J37),I37),'7_DéplacementsProfessionnels'!G37*VLOOKUP('7_DéplacementsProfessionnels'!F37,'BDD FE'!$B$109:$C$119,2,FALSE)*10^-3)),0)</f>
        <v>0</v>
      </c>
      <c r="M37" s="125"/>
      <c r="N37" s="633"/>
      <c r="O37" s="634"/>
      <c r="P37" s="635"/>
      <c r="Q37" s="330"/>
      <c r="R37" s="330"/>
      <c r="S37" s="330"/>
      <c r="T37" s="330"/>
      <c r="U37" s="330"/>
      <c r="V37" s="330"/>
    </row>
    <row r="38" spans="1:22" s="129" customFormat="1">
      <c r="A38"/>
      <c r="B38" s="127"/>
      <c r="C38" s="111"/>
      <c r="D38" s="165"/>
      <c r="E38" s="165"/>
      <c r="F38" s="165"/>
      <c r="G38" s="164"/>
      <c r="H38" s="164"/>
      <c r="I38" s="282"/>
      <c r="J38" s="282"/>
      <c r="K38" s="132">
        <f>IFERROR(IF(E38="Oui",IF(ISBLANK(F38),H38*VLOOKUP(D38,'BDD FE'!$B$130:$E$148,4,FALSE)*10^-3*IF(ISBLANK(I38),IF(ISBLANK(J38),1,J38),I38),'7_DéplacementsProfessionnels'!G38*VLOOKUP('7_DéplacementsProfessionnels'!F38,'BDD FE'!$B$109:$C$119,2,FALSE)*10^-3),IF(ISBLANK(F38),H38*VLOOKUP(D38,'BDD FE'!$B$130:$G$148,6,FALSE)*10^-3*IF(ISBLANK(I38),IF(ISBLANK(J38),1,J38),I38),'7_DéplacementsProfessionnels'!G38*VLOOKUP('7_DéplacementsProfessionnels'!F38,'BDD FE'!$B$109:$C$119,2,FALSE)*10^-3)),0)</f>
        <v>0</v>
      </c>
      <c r="M38" s="125"/>
      <c r="N38" s="633"/>
      <c r="O38" s="634"/>
      <c r="P38" s="635"/>
    </row>
    <row r="39" spans="1:22" s="129" customFormat="1">
      <c r="A39"/>
      <c r="B39" s="127"/>
      <c r="C39" s="111"/>
      <c r="D39" s="111"/>
      <c r="E39" s="111"/>
      <c r="F39" s="111"/>
      <c r="G39" s="111"/>
      <c r="H39" s="111"/>
      <c r="J39" s="111"/>
      <c r="K39" s="132">
        <f>SUM(K18:K38)</f>
        <v>0</v>
      </c>
      <c r="M39" s="125"/>
      <c r="N39" s="633"/>
      <c r="O39" s="634"/>
      <c r="P39" s="635"/>
    </row>
    <row r="40" spans="1:22" s="129" customFormat="1">
      <c r="A40"/>
      <c r="B40" s="127"/>
      <c r="C40" s="111"/>
      <c r="D40" s="111"/>
      <c r="E40" s="111"/>
      <c r="F40" s="111"/>
      <c r="G40" s="111"/>
      <c r="H40" s="111"/>
      <c r="I40" s="111"/>
      <c r="J40" s="111"/>
      <c r="K40" s="111"/>
      <c r="M40" s="125"/>
      <c r="N40" s="633"/>
      <c r="O40" s="634"/>
      <c r="P40" s="635"/>
    </row>
    <row r="41" spans="1:22" s="129" customFormat="1">
      <c r="A41"/>
      <c r="B41" s="127"/>
      <c r="C41" s="111"/>
      <c r="D41" s="111"/>
      <c r="E41" s="433" t="s">
        <v>3944</v>
      </c>
      <c r="F41" s="111"/>
      <c r="G41" s="111"/>
      <c r="H41" s="111"/>
      <c r="I41" s="111"/>
      <c r="J41" s="111"/>
      <c r="K41" s="111"/>
      <c r="M41" s="125"/>
      <c r="N41" s="633"/>
      <c r="O41" s="634"/>
      <c r="P41" s="635"/>
    </row>
    <row r="42" spans="1:22" s="129" customFormat="1">
      <c r="A42"/>
      <c r="B42" s="127"/>
      <c r="C42" s="111"/>
      <c r="D42" s="111"/>
      <c r="E42" s="111"/>
      <c r="F42" s="111"/>
      <c r="G42" s="111"/>
      <c r="H42" s="111"/>
      <c r="I42" s="111"/>
      <c r="J42" s="111"/>
      <c r="K42" s="111"/>
      <c r="L42" s="111"/>
      <c r="M42" s="125"/>
      <c r="N42" s="639"/>
      <c r="O42" s="640"/>
      <c r="P42" s="641"/>
    </row>
    <row r="43" spans="1:22" s="129" customFormat="1">
      <c r="A43"/>
      <c r="B43" s="127"/>
      <c r="C43" s="111"/>
      <c r="D43" s="111"/>
      <c r="E43" s="111"/>
      <c r="F43" s="111"/>
      <c r="G43" s="111"/>
      <c r="H43" s="111"/>
      <c r="I43" s="111"/>
      <c r="J43" s="111"/>
      <c r="K43" s="111"/>
      <c r="L43" s="111"/>
      <c r="M43" s="125"/>
      <c r="N43" s="145"/>
      <c r="O43"/>
      <c r="P43" s="149"/>
    </row>
    <row r="44" spans="1:22" s="129" customFormat="1">
      <c r="A44"/>
      <c r="B44" s="127"/>
      <c r="C44" s="111"/>
      <c r="D44" s="111"/>
      <c r="E44" s="111"/>
      <c r="F44" s="111"/>
      <c r="G44" s="111"/>
      <c r="H44" s="111"/>
      <c r="I44" s="111"/>
      <c r="J44" s="111"/>
      <c r="K44" s="111"/>
      <c r="L44" s="111"/>
      <c r="M44" s="125"/>
      <c r="N44" s="145"/>
      <c r="O44"/>
      <c r="P44" s="149"/>
      <c r="Q44"/>
      <c r="R44"/>
      <c r="S44"/>
    </row>
    <row r="45" spans="1:22" s="129" customFormat="1">
      <c r="A45"/>
      <c r="B45" s="127"/>
      <c r="C45" s="111"/>
      <c r="D45" s="111"/>
      <c r="E45" s="111"/>
      <c r="F45" s="111"/>
      <c r="G45" s="111"/>
      <c r="H45" s="111"/>
      <c r="I45" s="111"/>
      <c r="J45" s="111"/>
      <c r="K45" s="111"/>
      <c r="L45" s="111"/>
      <c r="M45" s="125"/>
      <c r="N45" s="145"/>
      <c r="O45"/>
      <c r="P45" s="149"/>
    </row>
    <row r="46" spans="1:22" s="129" customFormat="1">
      <c r="A46"/>
      <c r="B46" s="127"/>
      <c r="C46" s="111"/>
      <c r="D46" s="111"/>
      <c r="E46" s="111"/>
      <c r="F46" s="111"/>
      <c r="G46" s="111"/>
      <c r="H46" s="111"/>
      <c r="I46" s="111"/>
      <c r="J46" s="111"/>
      <c r="K46" s="111"/>
      <c r="L46" s="111"/>
      <c r="M46" s="125"/>
      <c r="N46" s="145"/>
      <c r="O46"/>
      <c r="P46" s="149"/>
    </row>
    <row r="47" spans="1:22" s="129" customFormat="1" ht="15" thickBot="1">
      <c r="A47"/>
      <c r="B47" s="127"/>
      <c r="C47" s="111"/>
      <c r="D47" s="111"/>
      <c r="E47" s="111"/>
      <c r="F47" s="111"/>
      <c r="G47" s="111"/>
      <c r="H47" s="111"/>
      <c r="I47" s="111"/>
      <c r="J47" s="111"/>
      <c r="K47" s="111"/>
      <c r="L47" s="111"/>
      <c r="M47" s="125"/>
      <c r="N47" s="150"/>
      <c r="O47" s="151"/>
      <c r="P47" s="152"/>
    </row>
    <row r="48" spans="1:22" s="129" customFormat="1">
      <c r="A48"/>
      <c r="B48" s="127"/>
      <c r="C48" s="111"/>
      <c r="D48" s="111"/>
      <c r="E48" s="111"/>
      <c r="F48" s="111"/>
      <c r="G48" s="111"/>
      <c r="H48" s="111"/>
      <c r="I48" s="111"/>
      <c r="J48" s="111"/>
      <c r="K48" s="111"/>
      <c r="L48" s="111"/>
      <c r="M48" s="125"/>
      <c r="N48"/>
      <c r="O48"/>
      <c r="P48"/>
    </row>
    <row r="49" spans="1:16" s="129" customFormat="1">
      <c r="A49"/>
      <c r="B49" s="127"/>
      <c r="C49" s="111"/>
      <c r="D49" s="111"/>
      <c r="E49" s="111"/>
      <c r="F49" s="111"/>
      <c r="G49" s="111"/>
      <c r="H49" s="111"/>
      <c r="I49" s="111"/>
      <c r="J49" s="111"/>
      <c r="K49" s="111"/>
      <c r="L49" s="111"/>
      <c r="M49" s="125"/>
      <c r="N49"/>
      <c r="O49"/>
      <c r="P49"/>
    </row>
    <row r="50" spans="1:16" s="129" customFormat="1">
      <c r="A50"/>
      <c r="B50" s="127"/>
      <c r="C50" s="111"/>
      <c r="D50" s="111"/>
      <c r="E50" s="111"/>
      <c r="F50" s="111"/>
      <c r="G50" s="111"/>
      <c r="H50" s="111"/>
      <c r="I50" s="111"/>
      <c r="J50" s="111"/>
      <c r="K50" s="111"/>
      <c r="L50" s="111"/>
      <c r="M50" s="125"/>
      <c r="N50"/>
      <c r="O50"/>
      <c r="P50"/>
    </row>
    <row r="51" spans="1:16" s="129" customFormat="1" ht="20">
      <c r="A51"/>
      <c r="B51" s="653" t="s">
        <v>46</v>
      </c>
      <c r="C51" s="654"/>
      <c r="D51" s="654"/>
      <c r="E51" s="654"/>
      <c r="F51" s="654"/>
      <c r="G51" s="654"/>
      <c r="H51" s="654"/>
      <c r="I51" s="654"/>
      <c r="J51" s="654"/>
      <c r="K51" s="654"/>
      <c r="L51" s="654"/>
      <c r="M51" s="655"/>
      <c r="N51"/>
      <c r="O51"/>
      <c r="P51"/>
    </row>
    <row r="52" spans="1:16" s="129" customFormat="1">
      <c r="A52"/>
      <c r="B52" s="127"/>
      <c r="C52" s="130"/>
      <c r="D52" s="130"/>
      <c r="E52" s="160"/>
      <c r="F52" s="160"/>
      <c r="G52" s="160"/>
      <c r="H52" s="160"/>
      <c r="I52" s="160"/>
      <c r="J52" s="160"/>
      <c r="K52" s="130"/>
      <c r="L52" s="130"/>
      <c r="M52" s="148"/>
      <c r="N52"/>
      <c r="O52"/>
      <c r="P52"/>
    </row>
    <row r="53" spans="1:16" s="129" customFormat="1">
      <c r="A53"/>
      <c r="B53" s="127"/>
      <c r="C53" s="130"/>
      <c r="D53" s="130"/>
      <c r="E53" s="160"/>
      <c r="F53" s="160"/>
      <c r="G53" s="160"/>
      <c r="H53" s="160"/>
      <c r="I53" s="160"/>
      <c r="J53" s="160"/>
      <c r="K53" s="130"/>
      <c r="L53" s="130"/>
      <c r="M53" s="148"/>
      <c r="N53"/>
      <c r="O53"/>
      <c r="P53"/>
    </row>
    <row r="54" spans="1:16" s="129" customFormat="1" ht="25">
      <c r="A54"/>
      <c r="B54" s="127"/>
      <c r="C54" s="397" t="s">
        <v>81</v>
      </c>
      <c r="D54" s="472" t="s">
        <v>3908</v>
      </c>
      <c r="E54" s="397" t="s">
        <v>80</v>
      </c>
      <c r="F54" s="160"/>
      <c r="G54" s="472" t="s">
        <v>3908</v>
      </c>
      <c r="H54" s="397" t="s">
        <v>80</v>
      </c>
      <c r="I54" s="160"/>
      <c r="J54" s="160"/>
      <c r="K54" s="130"/>
      <c r="L54" s="130"/>
      <c r="M54" s="148"/>
      <c r="N54"/>
      <c r="O54"/>
      <c r="P54"/>
    </row>
    <row r="55" spans="1:16" s="129" customFormat="1">
      <c r="A55"/>
      <c r="B55" s="127"/>
      <c r="C55" s="477" t="s">
        <v>3955</v>
      </c>
      <c r="D55" s="478" t="s">
        <v>94</v>
      </c>
      <c r="E55" s="476">
        <f t="shared" ref="E55:E73" si="0">SUMIFS($K$18:$K$38,$D$18:$D$38,C55)</f>
        <v>0</v>
      </c>
      <c r="F55" s="160"/>
      <c r="G55" s="477" t="s">
        <v>95</v>
      </c>
      <c r="H55" s="476">
        <f>SUMIFS($E$55:$E$73,$D$55:$D$73,G55)</f>
        <v>0</v>
      </c>
      <c r="I55" s="160"/>
      <c r="J55" s="160"/>
      <c r="K55" s="130"/>
      <c r="L55" s="130"/>
      <c r="M55" s="148"/>
      <c r="N55"/>
      <c r="O55"/>
      <c r="P55"/>
    </row>
    <row r="56" spans="1:16" s="129" customFormat="1">
      <c r="A56"/>
      <c r="B56" s="127"/>
      <c r="C56" s="477" t="s">
        <v>3649</v>
      </c>
      <c r="D56" s="478" t="s">
        <v>94</v>
      </c>
      <c r="E56" s="476">
        <f t="shared" si="0"/>
        <v>0</v>
      </c>
      <c r="F56" s="160"/>
      <c r="G56" s="477" t="s">
        <v>94</v>
      </c>
      <c r="H56" s="476">
        <f>SUMIFS($E$55:$E$73,$D$55:$D$73,G56)</f>
        <v>0</v>
      </c>
      <c r="I56" s="160"/>
      <c r="J56" s="160"/>
      <c r="K56" s="130"/>
      <c r="L56" s="130"/>
      <c r="M56" s="148"/>
      <c r="N56"/>
      <c r="O56"/>
      <c r="P56"/>
    </row>
    <row r="57" spans="1:16" s="129" customFormat="1">
      <c r="A57"/>
      <c r="B57" s="127"/>
      <c r="C57" s="477" t="s">
        <v>3650</v>
      </c>
      <c r="D57" s="477" t="s">
        <v>95</v>
      </c>
      <c r="E57" s="476">
        <f t="shared" si="0"/>
        <v>0</v>
      </c>
      <c r="F57" s="160"/>
      <c r="G57" s="477" t="s">
        <v>3913</v>
      </c>
      <c r="H57" s="476">
        <f>SUMIFS($E$55:$E$73,$D$55:$D$73,G57)</f>
        <v>0</v>
      </c>
      <c r="I57" s="160"/>
      <c r="J57" s="160"/>
      <c r="K57" s="130"/>
      <c r="L57" s="130"/>
      <c r="M57" s="148"/>
      <c r="N57"/>
      <c r="O57"/>
      <c r="P57"/>
    </row>
    <row r="58" spans="1:16" s="129" customFormat="1">
      <c r="A58"/>
      <c r="B58" s="127"/>
      <c r="C58" s="477" t="s">
        <v>3651</v>
      </c>
      <c r="D58" s="477" t="s">
        <v>95</v>
      </c>
      <c r="E58" s="476">
        <f t="shared" si="0"/>
        <v>0</v>
      </c>
      <c r="F58" s="160"/>
      <c r="G58" s="477" t="s">
        <v>93</v>
      </c>
      <c r="H58" s="476">
        <f>SUMIFS($E$55:$E$73,$D$55:$D$73,G58)</f>
        <v>0</v>
      </c>
      <c r="I58" s="160"/>
      <c r="J58" s="160"/>
      <c r="K58" s="130"/>
      <c r="L58" s="130"/>
      <c r="M58" s="148"/>
      <c r="N58"/>
      <c r="O58"/>
      <c r="P58"/>
    </row>
    <row r="59" spans="1:16" s="129" customFormat="1">
      <c r="A59"/>
      <c r="B59" s="127"/>
      <c r="C59" s="477" t="s">
        <v>3652</v>
      </c>
      <c r="D59" s="478" t="s">
        <v>93</v>
      </c>
      <c r="E59" s="476">
        <f t="shared" si="0"/>
        <v>0</v>
      </c>
      <c r="F59" s="160"/>
      <c r="G59" s="477" t="s">
        <v>73</v>
      </c>
      <c r="H59" s="476">
        <f>SUMIFS($E$55:$E$73,$D$55:$D$73,G59)</f>
        <v>0</v>
      </c>
      <c r="I59" s="160"/>
      <c r="J59" s="160"/>
      <c r="K59" s="130"/>
      <c r="L59" s="130"/>
      <c r="M59" s="148"/>
      <c r="N59"/>
      <c r="O59"/>
      <c r="P59"/>
    </row>
    <row r="60" spans="1:16" s="129" customFormat="1">
      <c r="A60"/>
      <c r="B60" s="127"/>
      <c r="C60" s="477" t="s">
        <v>3654</v>
      </c>
      <c r="D60" s="478" t="s">
        <v>93</v>
      </c>
      <c r="E60" s="476">
        <f t="shared" si="0"/>
        <v>0</v>
      </c>
      <c r="F60" s="160"/>
      <c r="I60" s="160"/>
      <c r="J60" s="160"/>
      <c r="K60" s="130"/>
      <c r="L60" s="130"/>
      <c r="M60" s="148"/>
      <c r="N60"/>
      <c r="O60"/>
      <c r="P60"/>
    </row>
    <row r="61" spans="1:16" s="129" customFormat="1">
      <c r="A61"/>
      <c r="B61" s="127"/>
      <c r="C61" s="477" t="s">
        <v>3656</v>
      </c>
      <c r="D61" s="477" t="s">
        <v>73</v>
      </c>
      <c r="E61" s="476">
        <f t="shared" si="0"/>
        <v>0</v>
      </c>
      <c r="F61" s="160"/>
      <c r="G61" s="160"/>
      <c r="H61" s="160"/>
      <c r="I61" s="160"/>
      <c r="J61" s="160"/>
      <c r="K61" s="130"/>
      <c r="L61" s="130"/>
      <c r="M61" s="148"/>
      <c r="N61"/>
      <c r="O61"/>
      <c r="P61"/>
    </row>
    <row r="62" spans="1:16" s="129" customFormat="1">
      <c r="A62"/>
      <c r="B62" s="127"/>
      <c r="C62" s="477" t="s">
        <v>3658</v>
      </c>
      <c r="D62" s="477" t="s">
        <v>73</v>
      </c>
      <c r="E62" s="476">
        <f t="shared" si="0"/>
        <v>0</v>
      </c>
      <c r="F62" s="160"/>
      <c r="G62" s="160"/>
      <c r="H62" s="160"/>
      <c r="I62" s="160"/>
      <c r="J62" s="160"/>
      <c r="K62" s="130"/>
      <c r="L62" s="130"/>
      <c r="M62" s="148"/>
      <c r="N62"/>
      <c r="O62"/>
      <c r="P62"/>
    </row>
    <row r="63" spans="1:16" s="129" customFormat="1">
      <c r="A63"/>
      <c r="B63" s="127"/>
      <c r="C63" s="477" t="s">
        <v>3659</v>
      </c>
      <c r="D63" s="477" t="s">
        <v>73</v>
      </c>
      <c r="E63" s="476">
        <f t="shared" si="0"/>
        <v>0</v>
      </c>
      <c r="F63" s="160"/>
      <c r="G63" s="160"/>
      <c r="H63" s="160"/>
      <c r="I63" s="160"/>
      <c r="J63" s="160"/>
      <c r="K63" s="130"/>
      <c r="L63" s="130"/>
      <c r="M63" s="148"/>
      <c r="N63"/>
      <c r="O63"/>
      <c r="P63"/>
    </row>
    <row r="64" spans="1:16" s="129" customFormat="1">
      <c r="A64"/>
      <c r="B64" s="127"/>
      <c r="C64" s="477" t="s">
        <v>3660</v>
      </c>
      <c r="D64" s="477" t="s">
        <v>73</v>
      </c>
      <c r="E64" s="476">
        <f t="shared" si="0"/>
        <v>0</v>
      </c>
      <c r="F64" s="160"/>
      <c r="G64" s="160"/>
      <c r="H64" s="160"/>
      <c r="I64" s="160"/>
      <c r="J64" s="160"/>
      <c r="K64" s="130"/>
      <c r="L64" s="130"/>
      <c r="M64" s="148"/>
      <c r="N64"/>
      <c r="O64"/>
      <c r="P64"/>
    </row>
    <row r="65" spans="1:16" s="129" customFormat="1">
      <c r="A65"/>
      <c r="B65" s="127"/>
      <c r="C65" s="477" t="s">
        <v>3661</v>
      </c>
      <c r="D65" s="478" t="s">
        <v>93</v>
      </c>
      <c r="E65" s="476">
        <f t="shared" si="0"/>
        <v>0</v>
      </c>
      <c r="F65" s="160"/>
      <c r="G65" s="160"/>
      <c r="H65" s="160"/>
      <c r="I65" s="160"/>
      <c r="J65" s="130"/>
      <c r="K65" s="130"/>
      <c r="L65" s="130"/>
      <c r="M65" s="148"/>
      <c r="N65"/>
      <c r="O65"/>
      <c r="P65"/>
    </row>
    <row r="66" spans="1:16" s="129" customFormat="1">
      <c r="A66"/>
      <c r="B66" s="127"/>
      <c r="C66" s="477" t="s">
        <v>3663</v>
      </c>
      <c r="D66" s="477" t="s">
        <v>3913</v>
      </c>
      <c r="E66" s="476">
        <f t="shared" si="0"/>
        <v>0</v>
      </c>
      <c r="F66" s="160"/>
      <c r="G66" s="160"/>
      <c r="H66" s="160"/>
      <c r="I66" s="160"/>
      <c r="J66" s="130"/>
      <c r="K66" s="130"/>
      <c r="L66" s="130"/>
      <c r="M66" s="148"/>
      <c r="N66"/>
      <c r="O66"/>
      <c r="P66"/>
    </row>
    <row r="67" spans="1:16" s="129" customFormat="1">
      <c r="A67"/>
      <c r="B67" s="127"/>
      <c r="C67" s="477" t="s">
        <v>3975</v>
      </c>
      <c r="D67" s="477" t="s">
        <v>93</v>
      </c>
      <c r="E67" s="476">
        <f t="shared" si="0"/>
        <v>0</v>
      </c>
      <c r="F67" s="160"/>
      <c r="G67" s="160"/>
      <c r="H67" s="160"/>
      <c r="I67" s="160"/>
      <c r="J67" s="130"/>
      <c r="K67" s="130"/>
      <c r="L67" s="130"/>
      <c r="M67" s="148"/>
      <c r="N67"/>
      <c r="O67"/>
      <c r="P67"/>
    </row>
    <row r="68" spans="1:16" s="129" customFormat="1">
      <c r="A68"/>
      <c r="B68" s="127"/>
      <c r="C68" s="477" t="s">
        <v>91</v>
      </c>
      <c r="D68" s="478" t="s">
        <v>93</v>
      </c>
      <c r="E68" s="476">
        <f t="shared" si="0"/>
        <v>0</v>
      </c>
      <c r="F68" s="160"/>
      <c r="G68" s="160"/>
      <c r="H68" s="160"/>
      <c r="I68" s="160"/>
      <c r="J68" s="130"/>
      <c r="K68" s="130"/>
      <c r="L68" s="130"/>
      <c r="M68" s="148"/>
      <c r="N68"/>
      <c r="O68"/>
      <c r="P68"/>
    </row>
    <row r="69" spans="1:16" s="129" customFormat="1">
      <c r="A69"/>
      <c r="B69" s="127"/>
      <c r="C69" s="477" t="s">
        <v>3949</v>
      </c>
      <c r="D69" s="478" t="s">
        <v>93</v>
      </c>
      <c r="E69" s="476">
        <f t="shared" si="0"/>
        <v>0</v>
      </c>
      <c r="F69" s="160"/>
      <c r="G69" s="160"/>
      <c r="H69" s="160"/>
      <c r="I69" s="160"/>
      <c r="J69" s="130"/>
      <c r="K69" s="130"/>
      <c r="L69" s="130"/>
      <c r="M69" s="148"/>
      <c r="N69"/>
      <c r="O69"/>
      <c r="P69"/>
    </row>
    <row r="70" spans="1:16" s="129" customFormat="1">
      <c r="A70"/>
      <c r="B70" s="127"/>
      <c r="C70" s="477" t="s">
        <v>3665</v>
      </c>
      <c r="D70" s="477" t="s">
        <v>73</v>
      </c>
      <c r="E70" s="476">
        <f t="shared" si="0"/>
        <v>0</v>
      </c>
      <c r="F70" s="160"/>
      <c r="G70" s="160"/>
      <c r="H70" s="160"/>
      <c r="I70" s="160"/>
      <c r="J70" s="130"/>
      <c r="K70" s="130"/>
      <c r="L70" s="130"/>
      <c r="M70" s="148"/>
      <c r="N70"/>
      <c r="O70"/>
      <c r="P70"/>
    </row>
    <row r="71" spans="1:16" s="129" customFormat="1">
      <c r="A71"/>
      <c r="B71" s="127"/>
      <c r="C71" s="477" t="s">
        <v>3667</v>
      </c>
      <c r="D71" s="477" t="s">
        <v>73</v>
      </c>
      <c r="E71" s="476">
        <f t="shared" si="0"/>
        <v>0</v>
      </c>
      <c r="F71" s="160"/>
      <c r="G71" s="160"/>
      <c r="H71" s="160"/>
      <c r="I71" s="160"/>
      <c r="J71" s="160"/>
      <c r="K71" s="130"/>
      <c r="L71" s="130"/>
      <c r="M71" s="148"/>
      <c r="N71"/>
      <c r="O71"/>
      <c r="P71"/>
    </row>
    <row r="72" spans="1:16" s="129" customFormat="1">
      <c r="A72"/>
      <c r="B72" s="127"/>
      <c r="C72" s="477" t="s">
        <v>3669</v>
      </c>
      <c r="D72" s="477" t="s">
        <v>73</v>
      </c>
      <c r="E72" s="476">
        <f t="shared" si="0"/>
        <v>0</v>
      </c>
      <c r="F72" s="160"/>
      <c r="G72" s="160"/>
      <c r="H72" s="160"/>
      <c r="I72" s="160"/>
      <c r="J72" s="160"/>
      <c r="K72" s="130"/>
      <c r="L72" s="130"/>
      <c r="M72" s="148"/>
      <c r="N72"/>
      <c r="O72"/>
      <c r="P72"/>
    </row>
    <row r="73" spans="1:16" s="129" customFormat="1">
      <c r="A73"/>
      <c r="B73" s="127"/>
      <c r="C73" s="477" t="s">
        <v>3670</v>
      </c>
      <c r="D73" s="477" t="s">
        <v>73</v>
      </c>
      <c r="E73" s="476">
        <f t="shared" si="0"/>
        <v>0</v>
      </c>
      <c r="F73" s="160"/>
      <c r="G73" s="160"/>
      <c r="H73" s="160"/>
      <c r="I73" s="160"/>
      <c r="J73" s="160"/>
      <c r="K73" s="130"/>
      <c r="L73" s="130"/>
      <c r="M73" s="148"/>
      <c r="N73"/>
      <c r="O73"/>
      <c r="P73"/>
    </row>
    <row r="74" spans="1:16" s="129" customFormat="1">
      <c r="A74"/>
      <c r="B74" s="127"/>
      <c r="C74" s="130"/>
      <c r="D74" s="130"/>
      <c r="E74" s="160"/>
      <c r="F74" s="160"/>
      <c r="G74" s="160"/>
      <c r="H74" s="160"/>
      <c r="I74" s="160"/>
      <c r="J74" s="160"/>
      <c r="K74" s="130"/>
      <c r="L74" s="130"/>
      <c r="M74" s="148"/>
      <c r="N74"/>
      <c r="O74"/>
      <c r="P74"/>
    </row>
    <row r="75" spans="1:16" s="129" customFormat="1">
      <c r="A75"/>
      <c r="B75" s="127"/>
      <c r="C75" s="130"/>
      <c r="D75" s="130"/>
      <c r="E75" s="160"/>
      <c r="F75" s="160"/>
      <c r="G75" s="160"/>
      <c r="H75" s="160"/>
      <c r="I75" s="160"/>
      <c r="J75" s="160"/>
      <c r="K75" s="130"/>
      <c r="L75" s="130"/>
      <c r="M75" s="148"/>
      <c r="N75"/>
      <c r="O75"/>
      <c r="P75"/>
    </row>
    <row r="76" spans="1:16" s="129" customFormat="1">
      <c r="A76"/>
      <c r="B76" s="127"/>
      <c r="C76" s="130"/>
      <c r="D76" s="130"/>
      <c r="E76" s="160"/>
      <c r="F76" s="160"/>
      <c r="G76" s="160"/>
      <c r="H76" s="160"/>
      <c r="I76" s="160"/>
      <c r="J76" s="160"/>
      <c r="K76" s="130"/>
      <c r="L76" s="130"/>
      <c r="M76" s="148"/>
      <c r="N76"/>
      <c r="O76"/>
      <c r="P76"/>
    </row>
    <row r="77" spans="1:16" s="129" customFormat="1">
      <c r="A77"/>
      <c r="B77" s="127"/>
      <c r="C77" s="130"/>
      <c r="D77" s="130"/>
      <c r="E77" s="160"/>
      <c r="F77" s="160"/>
      <c r="G77" s="160"/>
      <c r="H77" s="160"/>
      <c r="I77" s="160"/>
      <c r="J77" s="160"/>
      <c r="K77" s="130"/>
      <c r="L77" s="130"/>
      <c r="M77" s="148"/>
      <c r="N77"/>
      <c r="O77"/>
      <c r="P77"/>
    </row>
    <row r="78" spans="1:16" s="129" customFormat="1">
      <c r="A78"/>
      <c r="B78" s="127"/>
      <c r="C78" s="130"/>
      <c r="D78" s="130"/>
      <c r="E78" s="160"/>
      <c r="F78" s="160"/>
      <c r="G78" s="160"/>
      <c r="H78" s="160"/>
      <c r="I78" s="160"/>
      <c r="J78" s="160"/>
      <c r="K78" s="130"/>
      <c r="L78" s="130"/>
      <c r="M78" s="148"/>
      <c r="N78"/>
      <c r="O78"/>
      <c r="P78"/>
    </row>
    <row r="79" spans="1:16" s="129" customFormat="1">
      <c r="A79"/>
      <c r="B79" s="127"/>
      <c r="C79" s="130"/>
      <c r="D79" s="130"/>
      <c r="E79" s="160"/>
      <c r="F79" s="160"/>
      <c r="G79" s="160"/>
      <c r="H79" s="160"/>
      <c r="I79" s="160"/>
      <c r="J79" s="160"/>
      <c r="K79" s="130"/>
      <c r="L79" s="130"/>
      <c r="M79" s="148"/>
      <c r="N79"/>
      <c r="O79"/>
      <c r="P79"/>
    </row>
    <row r="80" spans="1:16" s="129" customFormat="1">
      <c r="A80"/>
      <c r="B80" s="127"/>
      <c r="C80" s="130"/>
      <c r="D80" s="130"/>
      <c r="E80" s="160"/>
      <c r="F80" s="160"/>
      <c r="G80" s="160"/>
      <c r="H80" s="160"/>
      <c r="I80" s="160"/>
      <c r="J80" s="160"/>
      <c r="K80" s="130"/>
      <c r="L80" s="130"/>
      <c r="M80" s="148"/>
      <c r="N80"/>
      <c r="O80"/>
      <c r="P80"/>
    </row>
    <row r="81" spans="1:16" s="129" customFormat="1">
      <c r="A81"/>
      <c r="B81" s="127"/>
      <c r="C81" s="130"/>
      <c r="D81" s="130"/>
      <c r="E81" s="160"/>
      <c r="F81" s="160"/>
      <c r="G81" s="160"/>
      <c r="H81" s="160"/>
      <c r="I81" s="160"/>
      <c r="J81" s="160"/>
      <c r="K81" s="130"/>
      <c r="L81" s="130"/>
      <c r="M81" s="148"/>
      <c r="N81"/>
      <c r="O81"/>
      <c r="P81"/>
    </row>
    <row r="82" spans="1:16" s="129" customFormat="1">
      <c r="A82"/>
      <c r="B82" s="127"/>
      <c r="C82" s="130"/>
      <c r="D82" s="130"/>
      <c r="E82" s="160"/>
      <c r="F82" s="160"/>
      <c r="G82" s="160"/>
      <c r="H82" s="160"/>
      <c r="I82" s="160"/>
      <c r="J82" s="160"/>
      <c r="K82" s="130"/>
      <c r="L82" s="130"/>
      <c r="M82" s="148"/>
      <c r="N82"/>
      <c r="O82"/>
      <c r="P82"/>
    </row>
    <row r="83" spans="1:16" s="129" customFormat="1">
      <c r="A83"/>
      <c r="B83" s="127"/>
      <c r="C83" s="130"/>
      <c r="D83" s="130"/>
      <c r="E83" s="160"/>
      <c r="F83" s="160"/>
      <c r="G83" s="160"/>
      <c r="H83" s="160"/>
      <c r="I83" s="160"/>
      <c r="J83" s="160"/>
      <c r="K83" s="130"/>
      <c r="L83" s="130"/>
      <c r="M83" s="148"/>
      <c r="N83"/>
      <c r="O83"/>
      <c r="P83"/>
    </row>
    <row r="84" spans="1:16" s="129" customFormat="1">
      <c r="A84"/>
      <c r="B84" s="127"/>
      <c r="C84" s="130"/>
      <c r="D84" s="130"/>
      <c r="E84" s="160"/>
      <c r="F84" s="160"/>
      <c r="G84" s="160"/>
      <c r="H84" s="160"/>
      <c r="I84" s="160"/>
      <c r="J84" s="160"/>
      <c r="K84" s="130"/>
      <c r="L84" s="130"/>
      <c r="M84" s="148"/>
      <c r="N84"/>
      <c r="O84"/>
      <c r="P84"/>
    </row>
    <row r="85" spans="1:16" s="129" customFormat="1">
      <c r="A85"/>
      <c r="B85" s="127"/>
      <c r="C85" s="130"/>
      <c r="D85" s="130"/>
      <c r="E85" s="160"/>
      <c r="F85" s="160"/>
      <c r="G85" s="160"/>
      <c r="H85" s="160"/>
      <c r="I85" s="160"/>
      <c r="J85" s="160"/>
      <c r="K85" s="130"/>
      <c r="L85" s="130"/>
      <c r="M85" s="148"/>
      <c r="N85"/>
      <c r="O85"/>
      <c r="P85"/>
    </row>
    <row r="86" spans="1:16" s="129" customFormat="1">
      <c r="A86"/>
      <c r="B86" s="127"/>
      <c r="C86" s="130"/>
      <c r="D86" s="130"/>
      <c r="E86" s="160"/>
      <c r="F86" s="160"/>
      <c r="G86" s="160"/>
      <c r="H86" s="160"/>
      <c r="I86" s="160"/>
      <c r="J86" s="160"/>
      <c r="K86" s="130"/>
      <c r="L86" s="130"/>
      <c r="M86" s="148"/>
      <c r="N86"/>
      <c r="O86"/>
      <c r="P86"/>
    </row>
    <row r="87" spans="1:16" s="129" customFormat="1">
      <c r="A87"/>
      <c r="B87" s="127"/>
      <c r="C87" s="130"/>
      <c r="D87" s="130"/>
      <c r="E87" s="160"/>
      <c r="F87" s="160"/>
      <c r="G87" s="160"/>
      <c r="H87" s="160"/>
      <c r="I87" s="160"/>
      <c r="J87" s="160"/>
      <c r="K87" s="130"/>
      <c r="L87" s="130"/>
      <c r="M87" s="148"/>
      <c r="N87"/>
      <c r="O87"/>
      <c r="P87"/>
    </row>
    <row r="88" spans="1:16" s="129" customFormat="1">
      <c r="A88"/>
      <c r="B88" s="127"/>
      <c r="C88" s="130"/>
      <c r="D88" s="130"/>
      <c r="E88" s="160"/>
      <c r="F88" s="160"/>
      <c r="G88" s="160"/>
      <c r="H88" s="160"/>
      <c r="I88" s="160"/>
      <c r="J88" s="160"/>
      <c r="K88" s="130"/>
      <c r="L88" s="130"/>
      <c r="M88" s="148"/>
      <c r="N88"/>
      <c r="O88"/>
      <c r="P88"/>
    </row>
    <row r="89" spans="1:16" s="129" customFormat="1">
      <c r="A89"/>
      <c r="B89" s="127"/>
      <c r="C89" s="130"/>
      <c r="D89" s="130"/>
      <c r="E89" s="160"/>
      <c r="F89" s="160"/>
      <c r="G89" s="160"/>
      <c r="H89" s="160"/>
      <c r="I89" s="160"/>
      <c r="J89" s="160"/>
      <c r="K89" s="130"/>
      <c r="L89" s="130"/>
      <c r="M89" s="148"/>
      <c r="N89"/>
      <c r="O89"/>
      <c r="P89"/>
    </row>
    <row r="90" spans="1:16" s="129" customFormat="1">
      <c r="A90"/>
      <c r="B90" s="127"/>
      <c r="C90" s="130"/>
      <c r="D90" s="130"/>
      <c r="E90" s="160"/>
      <c r="F90" s="160"/>
      <c r="G90" s="160"/>
      <c r="H90" s="160"/>
      <c r="I90" s="160"/>
      <c r="J90" s="160"/>
      <c r="K90" s="130"/>
      <c r="L90" s="130"/>
      <c r="M90" s="148"/>
      <c r="N90"/>
      <c r="O90"/>
      <c r="P90"/>
    </row>
    <row r="91" spans="1:16" s="129" customFormat="1">
      <c r="A91"/>
      <c r="B91" s="127"/>
      <c r="C91" s="130"/>
      <c r="D91" s="130"/>
      <c r="E91" s="160"/>
      <c r="F91" s="160"/>
      <c r="G91" s="160"/>
      <c r="H91" s="160"/>
      <c r="I91" s="160"/>
      <c r="J91" s="160"/>
      <c r="K91" s="130"/>
      <c r="L91" s="130"/>
      <c r="M91" s="148"/>
      <c r="N91"/>
      <c r="O91"/>
      <c r="P91"/>
    </row>
    <row r="92" spans="1:16" s="129" customFormat="1">
      <c r="A92"/>
      <c r="B92" s="127"/>
      <c r="C92" s="130"/>
      <c r="D92" s="130"/>
      <c r="E92" s="160"/>
      <c r="F92" s="160"/>
      <c r="G92" s="160"/>
      <c r="H92" s="160"/>
      <c r="I92" s="160"/>
      <c r="J92" s="160"/>
      <c r="K92" s="130"/>
      <c r="L92" s="130"/>
      <c r="M92" s="148"/>
      <c r="N92"/>
      <c r="O92"/>
      <c r="P92"/>
    </row>
    <row r="93" spans="1:16" s="129" customFormat="1">
      <c r="A93"/>
      <c r="B93" s="127"/>
      <c r="C93" s="130"/>
      <c r="D93" s="130"/>
      <c r="E93" s="160"/>
      <c r="F93" s="160"/>
      <c r="G93" s="160"/>
      <c r="H93" s="160"/>
      <c r="I93" s="160"/>
      <c r="J93" s="160"/>
      <c r="K93" s="130"/>
      <c r="L93" s="130"/>
      <c r="M93" s="148"/>
      <c r="N93"/>
      <c r="O93"/>
      <c r="P93"/>
    </row>
    <row r="94" spans="1:16" s="129" customFormat="1">
      <c r="A94"/>
      <c r="B94" s="127"/>
      <c r="C94" s="130"/>
      <c r="D94" s="130"/>
      <c r="E94" s="160"/>
      <c r="F94" s="160"/>
      <c r="G94" s="160"/>
      <c r="H94" s="160"/>
      <c r="I94" s="160"/>
      <c r="J94" s="160"/>
      <c r="K94" s="130"/>
      <c r="L94" s="130"/>
      <c r="M94" s="148"/>
      <c r="N94"/>
      <c r="O94"/>
      <c r="P94"/>
    </row>
    <row r="95" spans="1:16" s="129" customFormat="1">
      <c r="A95"/>
      <c r="B95" s="127"/>
      <c r="C95" s="130"/>
      <c r="D95" s="130"/>
      <c r="E95" s="160"/>
      <c r="F95" s="160"/>
      <c r="G95" s="160"/>
      <c r="H95" s="160"/>
      <c r="I95" s="160"/>
      <c r="J95" s="160"/>
      <c r="K95" s="130"/>
      <c r="L95" s="130"/>
      <c r="M95" s="148"/>
      <c r="N95"/>
      <c r="O95"/>
      <c r="P95"/>
    </row>
    <row r="96" spans="1:16">
      <c r="B96" s="127"/>
      <c r="C96" s="130"/>
      <c r="D96" s="130"/>
      <c r="E96" s="160"/>
      <c r="F96" s="160"/>
      <c r="G96" s="160"/>
      <c r="H96" s="160"/>
      <c r="I96" s="160"/>
      <c r="J96" s="160"/>
      <c r="K96" s="130"/>
      <c r="L96" s="130"/>
      <c r="M96" s="148"/>
    </row>
    <row r="97" spans="2:13">
      <c r="B97" s="127"/>
      <c r="C97" s="130"/>
      <c r="D97" s="130"/>
      <c r="E97" s="130"/>
      <c r="F97" s="130"/>
      <c r="G97" s="130"/>
      <c r="H97" s="130"/>
      <c r="I97" s="130"/>
      <c r="J97" s="130"/>
      <c r="K97" s="130"/>
      <c r="L97" s="130"/>
      <c r="M97" s="148"/>
    </row>
    <row r="98" spans="2:13">
      <c r="B98" s="127"/>
      <c r="C98" s="130"/>
      <c r="D98" s="130"/>
      <c r="E98" s="130"/>
      <c r="F98" s="130"/>
      <c r="G98" s="130"/>
      <c r="H98" s="130"/>
      <c r="I98" s="130"/>
      <c r="J98" s="130"/>
      <c r="K98" s="130"/>
      <c r="L98" s="130"/>
      <c r="M98" s="148"/>
    </row>
    <row r="99" spans="2:13">
      <c r="B99" s="127"/>
      <c r="C99" s="130"/>
      <c r="D99" s="130"/>
      <c r="E99" s="130"/>
      <c r="F99" s="130"/>
      <c r="G99" s="130"/>
      <c r="H99" s="130"/>
      <c r="I99" s="130"/>
      <c r="J99" s="130"/>
      <c r="K99" s="130"/>
      <c r="L99" s="130"/>
      <c r="M99" s="148"/>
    </row>
    <row r="100" spans="2:13" ht="15" thickBot="1">
      <c r="B100" s="142"/>
      <c r="C100" s="161"/>
      <c r="D100" s="161"/>
      <c r="E100" s="161"/>
      <c r="F100" s="161"/>
      <c r="G100" s="161"/>
      <c r="H100" s="161"/>
      <c r="I100" s="161"/>
      <c r="J100" s="161"/>
      <c r="K100" s="161"/>
      <c r="L100" s="161"/>
      <c r="M100" s="162"/>
    </row>
    <row r="101" spans="2:13">
      <c r="B101" s="112"/>
      <c r="C101" s="130"/>
      <c r="D101" s="130"/>
      <c r="E101" s="130"/>
      <c r="F101" s="130"/>
      <c r="G101" s="130"/>
      <c r="H101" s="130"/>
      <c r="I101" s="130"/>
      <c r="J101" s="130"/>
      <c r="K101" s="130"/>
      <c r="L101" s="130"/>
      <c r="M101" s="112"/>
    </row>
    <row r="102" spans="2:13">
      <c r="B102" s="112"/>
      <c r="C102" s="112"/>
      <c r="D102" s="112"/>
      <c r="E102" s="112"/>
      <c r="F102" s="112"/>
      <c r="G102" s="112"/>
      <c r="H102" s="112"/>
      <c r="I102" s="112"/>
      <c r="J102" s="112"/>
      <c r="K102" s="112"/>
      <c r="L102" s="112"/>
      <c r="M102" s="112"/>
    </row>
    <row r="103" spans="2:13"/>
    <row r="104" spans="2:13"/>
    <row r="105" spans="2:13"/>
    <row r="106" spans="2:13"/>
    <row r="107" spans="2:13"/>
    <row r="108" spans="2:13"/>
    <row r="109" spans="2:13"/>
    <row r="110" spans="2:13"/>
    <row r="111" spans="2:13"/>
    <row r="112" spans="2:1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sheetData>
  <protectedRanges>
    <protectedRange sqref="F18:G38 K15:K16" name="Plage1"/>
    <protectedRange sqref="N3 N8:N11 N28:N41" name="Plage1_1"/>
    <protectedRange sqref="H18:H38 D18:E38" name="Plage1_2"/>
    <protectedRange sqref="I18:I38" name="Plage1_2_1"/>
  </protectedRanges>
  <mergeCells count="12">
    <mergeCell ref="H15:J15"/>
    <mergeCell ref="B51:M51"/>
    <mergeCell ref="B1:M1"/>
    <mergeCell ref="N1:P1"/>
    <mergeCell ref="N2:P2"/>
    <mergeCell ref="N28:P42"/>
    <mergeCell ref="N8:P26"/>
    <mergeCell ref="N3:P6"/>
    <mergeCell ref="N27:P27"/>
    <mergeCell ref="I16:J16"/>
    <mergeCell ref="F15:G16"/>
    <mergeCell ref="C5:J13"/>
  </mergeCells>
  <dataValidations count="1">
    <dataValidation type="list" allowBlank="1" showInputMessage="1" showErrorMessage="1" sqref="E18:E38" xr:uid="{08D73DBC-B3A9-4C47-AAD6-134D12C85BB0}">
      <formula1>"Oui,Non"</formula1>
    </dataValidation>
  </dataValidations>
  <hyperlinks>
    <hyperlink ref="A6" location="'1_Votre Structure'!A1" display="Votre structure" xr:uid="{D4C6171F-7FE7-479D-A678-0AAA237916A5}"/>
    <hyperlink ref="A7" location="'2_ConsoEnergieEau'!A1" display="Consommation d'énergie et d'eau" xr:uid="{DFA55DB9-48FD-427D-962A-7CBC81700ABB}"/>
    <hyperlink ref="A8" location="'3_Climatisation'!A1" display="Climatisation" xr:uid="{03245AEF-A5DF-47B4-A252-AFDBF5CD372D}"/>
    <hyperlink ref="A12" location="'7_DéplacementsProfessionnels'!A1" display="Déplacements professionnels" xr:uid="{129CEF4C-F8C7-4EC0-8E2B-EC753ACC0B70}"/>
    <hyperlink ref="A13" location="'8_DéplacementsSalariés'!A1" display="Déplacements des salariés" xr:uid="{7D0366BC-909D-48E2-98C5-8C6E96985171}"/>
    <hyperlink ref="A17" location="'12_Equipements'!A1" display="Equipements" xr:uid="{BA09FCEE-7C1B-4E9C-8301-0DB6DDBF01A4}"/>
    <hyperlink ref="A10" location="'5_Déchets'!A1" display="Déchets" xr:uid="{8A6721D0-4BE4-43E0-A7D6-DE501EEF07AE}"/>
    <hyperlink ref="A22" location="'17_TransportMatériel'!A1" display="Transport de matériel et d'œuvres" xr:uid="{6C551750-AC54-45C5-A67C-6728FDF17FF2}"/>
    <hyperlink ref="A23" location="'18_ImpressionsComPapier'!A1" display="Impression et communication papier" xr:uid="{3894959B-A472-44DB-B008-EBCD30A98943}"/>
    <hyperlink ref="A24" location="'19_ComDigitale'!A1" display="Communication digitale" xr:uid="{B5AA4ACB-5ACB-4D2A-9267-0AE789BD205A}"/>
    <hyperlink ref="A25" location="'20_Billetterie'!A1" display="Billetterie" xr:uid="{97EEC686-0576-4736-82A5-A9A91C78C63A}"/>
    <hyperlink ref="A20" location="'15_Alimentation'!A1" display="Alimentation" xr:uid="{8400851E-3A7C-4720-A28E-770971C2C2F1}"/>
    <hyperlink ref="A14" location="'9_DéplacementsVisiteurs'!A1" display="Déplacements des visiteurs" xr:uid="{045A7441-C6A4-4908-8E10-B51D5A9D5CB7}"/>
    <hyperlink ref="A15" location="'10_Tournées artistiques'!A1" display="Tournées artistiques" xr:uid="{04459D6E-34D0-4DC8-8018-D125E58C4D16}"/>
    <hyperlink ref="A16" location="'11_Artistes invité.e.s'!A1" display="Artistes invité.e.s" xr:uid="{481BF714-B65C-478C-B888-6B5B9A1BEFA5}"/>
    <hyperlink ref="A9" location="'4_Bâtiments,travaux, agcmt'!A1" display="Bâtiments, travaux et agencements" xr:uid="{3A765165-F65B-401C-AFA3-06E3BCE04E77}"/>
    <hyperlink ref="A18" location="'13_Achats - Documents papiers'!A1" display="Achats - Documents papiers" xr:uid="{C40FB745-8B4F-4180-8A65-75281F06F1B5}"/>
    <hyperlink ref="A21" location="'16_Autres achats (€)'!A1" display="Autres achats" xr:uid="{C67BFD94-B6FF-48ED-96EC-627766E12011}"/>
    <hyperlink ref="A19" location="'14_Décors'!A1" display="Décors" xr:uid="{A3D1172F-A87D-4827-BF9B-C94623B17B2F}"/>
    <hyperlink ref="A11" location="'6_DéplacementsPrestations'!A1" display="Déplacements de prestations" xr:uid="{1982B367-D384-4B42-A8DF-3405CA5676D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'BDD FE'!$B$109:$B$122</xm:f>
          </x14:formula1>
          <xm:sqref>F18:F38</xm:sqref>
        </x14:dataValidation>
        <x14:dataValidation type="list" allowBlank="1" showInputMessage="1" showErrorMessage="1" xr:uid="{B2BEBDC3-0479-4FCA-B649-CE89A5656070}">
          <x14:formula1>
            <xm:f>'BDD FE'!$B$130:$B$148</xm:f>
          </x14:formula1>
          <xm:sqref>D18:D38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O176"/>
  <sheetViews>
    <sheetView showGridLines="0" topLeftCell="A9" zoomScale="85" zoomScaleNormal="85" workbookViewId="0">
      <selection activeCell="I18" sqref="I18"/>
    </sheetView>
  </sheetViews>
  <sheetFormatPr baseColWidth="10" defaultColWidth="0" defaultRowHeight="14.5" zeroHeight="1"/>
  <cols>
    <col min="1" max="1" width="25.81640625" bestFit="1" customWidth="1"/>
    <col min="2" max="2" width="14.453125" customWidth="1"/>
    <col min="3" max="3" width="20.453125" style="170" customWidth="1"/>
    <col min="4" max="4" width="39.36328125" style="170" customWidth="1"/>
    <col min="5" max="7" width="14.453125" style="170" customWidth="1"/>
    <col min="8" max="8" width="28" style="170" customWidth="1"/>
    <col min="9" max="9" width="14.453125" style="170" customWidth="1"/>
    <col min="10" max="10" width="15.90625" style="170" customWidth="1"/>
    <col min="11" max="11" width="14.453125" style="170" customWidth="1"/>
    <col min="12" max="15" width="11.1796875" customWidth="1"/>
    <col min="16" max="16384" width="11.1796875" hidden="1"/>
  </cols>
  <sheetData>
    <row r="1" spans="1:14" ht="21" customHeight="1" thickBot="1">
      <c r="A1" s="647" t="s">
        <v>3359</v>
      </c>
      <c r="B1" s="649" t="s">
        <v>3912</v>
      </c>
      <c r="C1" s="572"/>
      <c r="D1" s="572"/>
      <c r="E1" s="572"/>
      <c r="F1" s="572"/>
      <c r="G1" s="572"/>
      <c r="H1" s="572"/>
      <c r="I1" s="572"/>
      <c r="J1" s="572"/>
      <c r="K1" s="573"/>
      <c r="L1" s="656" t="s">
        <v>3391</v>
      </c>
      <c r="M1" s="657"/>
      <c r="N1" s="658"/>
    </row>
    <row r="2" spans="1:14" ht="14.5" customHeight="1" thickBot="1">
      <c r="A2" s="648"/>
      <c r="B2" s="173"/>
      <c r="C2" s="130"/>
      <c r="D2" s="130"/>
      <c r="E2" s="631">
        <f>SUM(F45)</f>
        <v>0</v>
      </c>
      <c r="F2" s="666"/>
      <c r="G2" s="632"/>
      <c r="H2" s="130"/>
      <c r="I2" s="130"/>
      <c r="J2" s="130"/>
      <c r="K2" s="148"/>
      <c r="L2" s="613" t="s">
        <v>3457</v>
      </c>
      <c r="M2" s="614"/>
      <c r="N2" s="615"/>
    </row>
    <row r="3" spans="1:14">
      <c r="A3" s="338"/>
      <c r="B3" s="145"/>
      <c r="C3" s="130"/>
      <c r="D3" s="130"/>
      <c r="E3" s="130"/>
      <c r="F3" s="130"/>
      <c r="G3" s="130"/>
      <c r="H3" s="130"/>
      <c r="I3" s="130"/>
      <c r="J3" s="130"/>
      <c r="K3" s="148"/>
      <c r="L3" s="633"/>
      <c r="M3" s="634"/>
      <c r="N3" s="635"/>
    </row>
    <row r="4" spans="1:14">
      <c r="A4" s="338"/>
      <c r="B4" s="145"/>
      <c r="C4" s="663" t="s">
        <v>4071</v>
      </c>
      <c r="D4" s="663"/>
      <c r="E4" s="663"/>
      <c r="F4" s="663"/>
      <c r="G4" s="663"/>
      <c r="H4" s="663"/>
      <c r="I4" s="663"/>
      <c r="J4" s="663"/>
      <c r="K4" s="148"/>
      <c r="L4" s="633"/>
      <c r="M4" s="634"/>
      <c r="N4" s="635"/>
    </row>
    <row r="5" spans="1:14">
      <c r="A5" s="338"/>
      <c r="B5" s="145"/>
      <c r="C5" s="663"/>
      <c r="D5" s="663"/>
      <c r="E5" s="663"/>
      <c r="F5" s="663"/>
      <c r="G5" s="663"/>
      <c r="H5" s="663"/>
      <c r="I5" s="663"/>
      <c r="J5" s="663"/>
      <c r="K5" s="148"/>
      <c r="L5" s="633"/>
      <c r="M5" s="634"/>
      <c r="N5" s="635"/>
    </row>
    <row r="6" spans="1:14">
      <c r="A6" s="338"/>
      <c r="B6" s="145"/>
      <c r="C6" s="663"/>
      <c r="D6" s="663"/>
      <c r="E6" s="663"/>
      <c r="F6" s="663"/>
      <c r="G6" s="663"/>
      <c r="H6" s="663"/>
      <c r="I6" s="663"/>
      <c r="J6" s="663"/>
      <c r="K6" s="148"/>
      <c r="L6" s="633"/>
      <c r="M6" s="634"/>
      <c r="N6" s="635"/>
    </row>
    <row r="7" spans="1:14">
      <c r="A7" s="338"/>
      <c r="B7" s="145"/>
      <c r="C7" s="663"/>
      <c r="D7" s="663"/>
      <c r="E7" s="663"/>
      <c r="F7" s="663"/>
      <c r="G7" s="663"/>
      <c r="H7" s="663"/>
      <c r="I7" s="663"/>
      <c r="J7" s="663"/>
      <c r="K7" s="148"/>
      <c r="L7" s="633"/>
      <c r="M7" s="634"/>
      <c r="N7" s="635"/>
    </row>
    <row r="8" spans="1:14" ht="14.4" customHeight="1">
      <c r="A8" s="338"/>
      <c r="B8" s="145"/>
      <c r="C8" s="663"/>
      <c r="D8" s="663"/>
      <c r="E8" s="663"/>
      <c r="F8" s="663"/>
      <c r="G8" s="663"/>
      <c r="H8" s="663"/>
      <c r="I8" s="663"/>
      <c r="J8" s="663"/>
      <c r="K8" s="148"/>
      <c r="L8" s="633"/>
      <c r="M8" s="634"/>
      <c r="N8" s="635"/>
    </row>
    <row r="9" spans="1:14" ht="50.4" customHeight="1">
      <c r="A9" s="338"/>
      <c r="B9" s="145"/>
      <c r="C9" s="663"/>
      <c r="D9" s="663"/>
      <c r="E9" s="663"/>
      <c r="F9" s="663"/>
      <c r="G9" s="663"/>
      <c r="H9" s="663"/>
      <c r="I9" s="663"/>
      <c r="J9" s="663"/>
      <c r="K9" s="174"/>
      <c r="L9" s="633"/>
      <c r="M9" s="634"/>
      <c r="N9" s="635"/>
    </row>
    <row r="10" spans="1:14">
      <c r="A10" s="341" t="s">
        <v>3357</v>
      </c>
      <c r="B10" s="145"/>
      <c r="C10" s="663"/>
      <c r="D10" s="663"/>
      <c r="E10" s="663"/>
      <c r="F10" s="663"/>
      <c r="G10" s="663"/>
      <c r="H10" s="663"/>
      <c r="I10" s="663"/>
      <c r="J10" s="663"/>
      <c r="K10" s="174"/>
      <c r="L10" s="639"/>
      <c r="M10" s="640"/>
      <c r="N10" s="641"/>
    </row>
    <row r="11" spans="1:14">
      <c r="A11" s="339" t="s">
        <v>3434</v>
      </c>
      <c r="B11" s="145"/>
      <c r="C11" s="663"/>
      <c r="D11" s="663"/>
      <c r="E11" s="663"/>
      <c r="F11" s="663"/>
      <c r="G11" s="663"/>
      <c r="H11" s="663"/>
      <c r="I11" s="663"/>
      <c r="J11" s="663"/>
      <c r="K11" s="174"/>
      <c r="L11" s="246" t="s">
        <v>3458</v>
      </c>
      <c r="M11" s="343"/>
      <c r="N11" s="344"/>
    </row>
    <row r="12" spans="1:14">
      <c r="A12" s="339" t="s">
        <v>7</v>
      </c>
      <c r="B12" s="145"/>
      <c r="C12" s="663"/>
      <c r="D12" s="663"/>
      <c r="E12" s="663"/>
      <c r="F12" s="663"/>
      <c r="G12" s="663"/>
      <c r="H12" s="663"/>
      <c r="I12" s="663"/>
      <c r="J12" s="663"/>
      <c r="K12" s="174"/>
      <c r="L12" s="633"/>
      <c r="M12" s="634"/>
      <c r="N12" s="635"/>
    </row>
    <row r="13" spans="1:14">
      <c r="A13" s="339" t="s">
        <v>3427</v>
      </c>
      <c r="B13" s="145"/>
      <c r="C13" s="663"/>
      <c r="D13" s="663"/>
      <c r="E13" s="663"/>
      <c r="F13" s="663"/>
      <c r="G13" s="663"/>
      <c r="H13" s="663"/>
      <c r="I13" s="663"/>
      <c r="J13" s="663"/>
      <c r="K13" s="174"/>
      <c r="L13" s="633"/>
      <c r="M13" s="634"/>
      <c r="N13" s="635"/>
    </row>
    <row r="14" spans="1:14">
      <c r="A14" s="340" t="s">
        <v>10</v>
      </c>
      <c r="B14" s="145"/>
      <c r="C14" s="130"/>
      <c r="D14" s="130"/>
      <c r="E14" s="130"/>
      <c r="F14" s="130"/>
      <c r="G14" s="130"/>
      <c r="H14" s="130"/>
      <c r="K14" s="174"/>
      <c r="L14" s="633"/>
      <c r="M14" s="634"/>
      <c r="N14" s="635"/>
    </row>
    <row r="15" spans="1:14" ht="37.5">
      <c r="A15" s="340" t="s">
        <v>3645</v>
      </c>
      <c r="B15" s="145"/>
      <c r="C15" s="397" t="s">
        <v>3815</v>
      </c>
      <c r="D15" s="117" t="s">
        <v>89</v>
      </c>
      <c r="E15" s="117" t="s">
        <v>117</v>
      </c>
      <c r="F15" s="117" t="s">
        <v>80</v>
      </c>
      <c r="H15" s="130"/>
      <c r="K15" s="174"/>
      <c r="L15" s="633"/>
      <c r="M15" s="634"/>
      <c r="N15" s="635"/>
    </row>
    <row r="16" spans="1:14" ht="33" customHeight="1">
      <c r="A16" s="339" t="s">
        <v>3431</v>
      </c>
      <c r="B16" s="145"/>
      <c r="C16" s="165"/>
      <c r="D16" s="165"/>
      <c r="E16" s="164"/>
      <c r="F16" s="132">
        <f>IFERROR(E16*VLOOKUP(D16,'BDD FE'!$B$130:$H$148,6,0)*10^-3,0)</f>
        <v>0</v>
      </c>
      <c r="H16" s="130"/>
      <c r="I16" s="393"/>
      <c r="J16" s="393"/>
      <c r="K16" s="174"/>
      <c r="L16" s="633"/>
      <c r="M16" s="634"/>
      <c r="N16" s="635"/>
    </row>
    <row r="17" spans="1:14">
      <c r="A17" s="340" t="s">
        <v>5</v>
      </c>
      <c r="B17" s="145"/>
      <c r="C17" s="165"/>
      <c r="D17" s="165"/>
      <c r="E17" s="164"/>
      <c r="F17" s="132">
        <f>IFERROR(E17*VLOOKUP(D17,'BDD FE'!$B$130:$H$148,6,0)*10^-3,0)</f>
        <v>0</v>
      </c>
      <c r="H17" s="130"/>
      <c r="I17" s="394"/>
      <c r="J17" s="395"/>
      <c r="K17" s="174"/>
      <c r="L17" s="633"/>
      <c r="M17" s="634"/>
      <c r="N17" s="635"/>
    </row>
    <row r="18" spans="1:14">
      <c r="A18" s="339" t="s">
        <v>6</v>
      </c>
      <c r="B18" s="145"/>
      <c r="C18" s="165"/>
      <c r="D18" s="165"/>
      <c r="E18" s="164"/>
      <c r="F18" s="132">
        <f>IFERROR(E18*VLOOKUP(D18,'BDD FE'!$B$130:$H$148,6,0)*10^-3,0)</f>
        <v>0</v>
      </c>
      <c r="H18" s="130"/>
      <c r="I18" s="395"/>
      <c r="J18" s="396"/>
      <c r="K18" s="174"/>
      <c r="L18" s="633"/>
      <c r="M18" s="634"/>
      <c r="N18" s="635"/>
    </row>
    <row r="19" spans="1:14">
      <c r="A19" s="340" t="s">
        <v>12</v>
      </c>
      <c r="B19" s="145"/>
      <c r="C19" s="165"/>
      <c r="D19" s="165"/>
      <c r="E19" s="164"/>
      <c r="F19" s="132">
        <f>IFERROR(E19*VLOOKUP(D19,'BDD FE'!$B$130:$H$148,6,0)*10^-3,0)</f>
        <v>0</v>
      </c>
      <c r="H19" s="130"/>
      <c r="K19" s="174"/>
      <c r="L19" s="633"/>
      <c r="M19" s="634"/>
      <c r="N19" s="635"/>
    </row>
    <row r="20" spans="1:14">
      <c r="A20" s="340" t="s">
        <v>14</v>
      </c>
      <c r="B20" s="145"/>
      <c r="C20" s="165"/>
      <c r="D20" s="165"/>
      <c r="E20" s="164"/>
      <c r="F20" s="132">
        <f>IFERROR(E20*VLOOKUP(D20,'BDD FE'!$B$130:$H$148,6,0)*10^-3,0)</f>
        <v>0</v>
      </c>
      <c r="H20" s="130"/>
      <c r="K20" s="174"/>
      <c r="L20" s="633"/>
      <c r="M20" s="634"/>
      <c r="N20" s="635"/>
    </row>
    <row r="21" spans="1:14">
      <c r="A21" s="339" t="s">
        <v>3426</v>
      </c>
      <c r="B21" s="145"/>
      <c r="C21" s="165"/>
      <c r="D21" s="165"/>
      <c r="E21" s="164"/>
      <c r="F21" s="132">
        <f>IFERROR(E21*VLOOKUP(D21,'BDD FE'!$B$130:$H$148,6,0)*10^-3,0)</f>
        <v>0</v>
      </c>
      <c r="H21" s="130"/>
      <c r="K21" s="174"/>
      <c r="L21" s="633"/>
      <c r="M21" s="634"/>
      <c r="N21" s="635"/>
    </row>
    <row r="22" spans="1:14">
      <c r="A22" s="340" t="s">
        <v>3918</v>
      </c>
      <c r="B22" s="145"/>
      <c r="C22" s="165"/>
      <c r="D22" s="165"/>
      <c r="E22" s="164"/>
      <c r="F22" s="132">
        <f>IFERROR(E22*VLOOKUP(D22,'BDD FE'!$B$130:$H$148,6,0)*10^-3,0)</f>
        <v>0</v>
      </c>
      <c r="H22" s="130"/>
      <c r="K22" s="174"/>
      <c r="L22" s="633"/>
      <c r="M22" s="634"/>
      <c r="N22" s="635"/>
    </row>
    <row r="23" spans="1:14">
      <c r="A23" s="340" t="s">
        <v>3436</v>
      </c>
      <c r="B23" s="145"/>
      <c r="C23" s="165"/>
      <c r="D23" s="165"/>
      <c r="E23" s="164"/>
      <c r="F23" s="132">
        <f>IFERROR(E23*VLOOKUP(D23,'BDD FE'!$B$130:$H$148,6,0)*10^-3,0)</f>
        <v>0</v>
      </c>
      <c r="H23" s="130"/>
      <c r="K23" s="174"/>
      <c r="L23" s="633"/>
      <c r="M23" s="634"/>
      <c r="N23" s="635"/>
    </row>
    <row r="24" spans="1:14">
      <c r="A24" s="340" t="s">
        <v>3378</v>
      </c>
      <c r="B24" s="145"/>
      <c r="C24" s="165"/>
      <c r="D24" s="165"/>
      <c r="E24" s="164"/>
      <c r="F24" s="132">
        <f>IFERROR(E24*VLOOKUP(D24,'BDD FE'!$B$130:$H$148,6,0)*10^-3,0)</f>
        <v>0</v>
      </c>
      <c r="H24" s="130"/>
      <c r="K24" s="174"/>
      <c r="L24" s="633"/>
      <c r="M24" s="634"/>
      <c r="N24" s="635"/>
    </row>
    <row r="25" spans="1:14">
      <c r="A25" s="339" t="s">
        <v>3430</v>
      </c>
      <c r="B25" s="145"/>
      <c r="C25" s="165"/>
      <c r="D25" s="165"/>
      <c r="E25" s="164"/>
      <c r="F25" s="132">
        <f>IFERROR(E25*VLOOKUP(D25,'BDD FE'!$B$130:$H$148,6,0)*10^-3,0)</f>
        <v>0</v>
      </c>
      <c r="H25" s="130"/>
      <c r="K25" s="174"/>
      <c r="L25" s="633"/>
      <c r="M25" s="634"/>
      <c r="N25" s="635"/>
    </row>
    <row r="26" spans="1:14">
      <c r="A26" s="340" t="s">
        <v>3433</v>
      </c>
      <c r="B26" s="145"/>
      <c r="C26" s="165"/>
      <c r="D26" s="165"/>
      <c r="E26" s="164"/>
      <c r="F26" s="132">
        <f>IFERROR(E26*VLOOKUP(D26,'BDD FE'!$B$130:$H$148,6,0)*10^-3,0)</f>
        <v>0</v>
      </c>
      <c r="H26" s="130"/>
      <c r="K26" s="174"/>
      <c r="L26" s="633"/>
      <c r="M26" s="634"/>
      <c r="N26" s="635"/>
    </row>
    <row r="27" spans="1:14">
      <c r="A27" s="340" t="s">
        <v>3428</v>
      </c>
      <c r="B27" s="145"/>
      <c r="C27" s="165"/>
      <c r="D27" s="165"/>
      <c r="E27" s="164"/>
      <c r="F27" s="132">
        <f>IFERROR(E27*VLOOKUP(D27,'BDD FE'!$B$130:$H$148,6,0)*10^-3,0)</f>
        <v>0</v>
      </c>
      <c r="H27" s="130"/>
      <c r="K27" s="174"/>
      <c r="L27" s="633"/>
      <c r="M27" s="634"/>
      <c r="N27" s="635"/>
    </row>
    <row r="28" spans="1:14">
      <c r="A28" s="340" t="s">
        <v>11</v>
      </c>
      <c r="B28" s="145"/>
      <c r="C28" s="165"/>
      <c r="D28" s="165"/>
      <c r="E28" s="164"/>
      <c r="F28" s="132">
        <f>IFERROR(E28*VLOOKUP(D28,'BDD FE'!$B$130:$H$148,6,0)*10^-3,0)</f>
        <v>0</v>
      </c>
      <c r="H28" s="130"/>
      <c r="K28" s="174"/>
      <c r="L28" s="633"/>
      <c r="M28" s="634"/>
      <c r="N28" s="635"/>
    </row>
    <row r="29" spans="1:14">
      <c r="A29" s="340" t="s">
        <v>13</v>
      </c>
      <c r="B29" s="145"/>
      <c r="C29" s="165"/>
      <c r="D29" s="165"/>
      <c r="E29" s="164"/>
      <c r="F29" s="132">
        <f>IFERROR(E29*VLOOKUP(D29,'BDD FE'!$B$130:$H$148,6,0)*10^-3,0)</f>
        <v>0</v>
      </c>
      <c r="H29" s="130"/>
      <c r="K29" s="174"/>
      <c r="L29" s="633"/>
      <c r="M29" s="634"/>
      <c r="N29" s="635"/>
    </row>
    <row r="30" spans="1:14">
      <c r="B30" s="145"/>
      <c r="C30" s="165"/>
      <c r="D30" s="165"/>
      <c r="E30" s="164"/>
      <c r="F30" s="132">
        <f>IFERROR(E30*VLOOKUP(D30,'BDD FE'!$B$130:$H$148,6,0)*10^-3,0)</f>
        <v>0</v>
      </c>
      <c r="H30" s="130"/>
      <c r="K30" s="174"/>
      <c r="L30" s="639"/>
      <c r="M30" s="640"/>
      <c r="N30" s="641"/>
    </row>
    <row r="31" spans="1:14">
      <c r="B31" s="145"/>
      <c r="C31" s="165"/>
      <c r="D31" s="165"/>
      <c r="E31" s="164"/>
      <c r="F31" s="132">
        <f>IFERROR(E31*VLOOKUP(D31,'BDD FE'!$B$130:$H$148,6,0)*10^-3,0)</f>
        <v>0</v>
      </c>
      <c r="H31" s="130"/>
      <c r="K31" s="174"/>
      <c r="L31" s="613" t="s">
        <v>3459</v>
      </c>
      <c r="M31" s="614"/>
      <c r="N31" s="615"/>
    </row>
    <row r="32" spans="1:14">
      <c r="B32" s="145"/>
      <c r="C32" s="165"/>
      <c r="D32" s="165"/>
      <c r="E32" s="164"/>
      <c r="F32" s="132">
        <f>IFERROR(E32*VLOOKUP(D32,'BDD FE'!$B$130:$H$148,6,0)*10^-3,0)</f>
        <v>0</v>
      </c>
      <c r="H32" s="130"/>
      <c r="K32" s="174"/>
      <c r="L32" s="633"/>
      <c r="M32" s="634"/>
      <c r="N32" s="635"/>
    </row>
    <row r="33" spans="2:14">
      <c r="B33" s="145"/>
      <c r="C33" s="165"/>
      <c r="D33" s="165"/>
      <c r="E33" s="164"/>
      <c r="F33" s="132">
        <f>IFERROR(E33*VLOOKUP(D33,'BDD FE'!$B$130:$H$148,6,0)*10^-3,0)</f>
        <v>0</v>
      </c>
      <c r="H33" s="130"/>
      <c r="K33" s="174"/>
      <c r="L33" s="633"/>
      <c r="M33" s="634"/>
      <c r="N33" s="635"/>
    </row>
    <row r="34" spans="2:14">
      <c r="B34" s="145"/>
      <c r="C34" s="165"/>
      <c r="D34" s="165"/>
      <c r="E34" s="164"/>
      <c r="F34" s="132">
        <f>IFERROR(E34*VLOOKUP(D34,'BDD FE'!$B$130:$H$148,6,0)*10^-3,0)</f>
        <v>0</v>
      </c>
      <c r="H34" s="130"/>
      <c r="K34" s="174"/>
      <c r="L34" s="633"/>
      <c r="M34" s="634"/>
      <c r="N34" s="635"/>
    </row>
    <row r="35" spans="2:14">
      <c r="B35" s="145"/>
      <c r="C35" s="165"/>
      <c r="D35" s="165"/>
      <c r="E35" s="164"/>
      <c r="F35" s="132">
        <f>IFERROR(E35*VLOOKUP(D35,'BDD FE'!$B$130:$H$148,6,0)*10^-3,0)</f>
        <v>0</v>
      </c>
      <c r="H35" s="130"/>
      <c r="K35" s="174"/>
      <c r="L35" s="633"/>
      <c r="M35" s="634"/>
      <c r="N35" s="635"/>
    </row>
    <row r="36" spans="2:14" ht="20.25" customHeight="1">
      <c r="B36" s="145"/>
      <c r="C36" s="165"/>
      <c r="D36" s="165"/>
      <c r="E36" s="164"/>
      <c r="F36" s="132">
        <f>IFERROR(E36*VLOOKUP(D36,'BDD FE'!$B$130:$H$148,6,0)*10^-3,0)</f>
        <v>0</v>
      </c>
      <c r="H36" s="130"/>
      <c r="K36" s="174"/>
      <c r="L36" s="633"/>
      <c r="M36" s="634"/>
      <c r="N36" s="635"/>
    </row>
    <row r="37" spans="2:14">
      <c r="B37" s="145"/>
      <c r="C37" s="165"/>
      <c r="D37" s="165"/>
      <c r="E37" s="164"/>
      <c r="F37" s="132">
        <f>IFERROR(E37*VLOOKUP(D37,'BDD FE'!$B$130:$H$148,6,0)*10^-3,0)</f>
        <v>0</v>
      </c>
      <c r="H37" s="130"/>
      <c r="K37" s="174"/>
      <c r="L37" s="633"/>
      <c r="M37" s="634"/>
      <c r="N37" s="635"/>
    </row>
    <row r="38" spans="2:14">
      <c r="B38" s="145"/>
      <c r="C38" s="165"/>
      <c r="D38" s="165"/>
      <c r="E38" s="164"/>
      <c r="F38" s="132">
        <f>IFERROR(E38*VLOOKUP(D38,'BDD FE'!$B$130:$H$148,6,0)*10^-3,0)</f>
        <v>0</v>
      </c>
      <c r="H38" s="130"/>
      <c r="K38" s="174"/>
      <c r="L38" s="633"/>
      <c r="M38" s="634"/>
      <c r="N38" s="635"/>
    </row>
    <row r="39" spans="2:14">
      <c r="B39" s="145"/>
      <c r="C39" s="165"/>
      <c r="D39" s="165"/>
      <c r="E39" s="164"/>
      <c r="F39" s="132">
        <f>IFERROR(E39*VLOOKUP(D39,'BDD FE'!$B$130:$H$148,6,0)*10^-3,0)</f>
        <v>0</v>
      </c>
      <c r="H39" s="130"/>
      <c r="K39" s="174"/>
      <c r="L39" s="633"/>
      <c r="M39" s="634"/>
      <c r="N39" s="635"/>
    </row>
    <row r="40" spans="2:14">
      <c r="B40" s="145"/>
      <c r="C40" s="165"/>
      <c r="D40" s="165"/>
      <c r="E40" s="164"/>
      <c r="F40" s="132">
        <f>IFERROR(E40*VLOOKUP(D40,'BDD FE'!$B$130:$H$148,6,0)*10^-3,0)</f>
        <v>0</v>
      </c>
      <c r="H40" s="130"/>
      <c r="K40" s="174"/>
      <c r="L40" s="633"/>
      <c r="M40" s="634"/>
      <c r="N40" s="635"/>
    </row>
    <row r="41" spans="2:14">
      <c r="B41" s="145"/>
      <c r="C41" s="165"/>
      <c r="D41" s="165"/>
      <c r="E41" s="164"/>
      <c r="F41" s="132">
        <f>IFERROR(E41*VLOOKUP(D41,'BDD FE'!$B$130:$H$148,6,0)*10^-3,0)</f>
        <v>0</v>
      </c>
      <c r="H41" s="130"/>
      <c r="K41" s="174"/>
      <c r="L41" s="633"/>
      <c r="M41" s="634"/>
      <c r="N41" s="635"/>
    </row>
    <row r="42" spans="2:14">
      <c r="B42" s="145"/>
      <c r="C42" s="165"/>
      <c r="D42" s="165"/>
      <c r="E42" s="164"/>
      <c r="F42" s="132">
        <f>IFERROR(E42*VLOOKUP(D42,'BDD FE'!$B$130:$H$148,6,0)*10^-3,0)</f>
        <v>0</v>
      </c>
      <c r="H42" s="130"/>
      <c r="K42" s="174"/>
      <c r="L42" s="633"/>
      <c r="M42" s="634"/>
      <c r="N42" s="635"/>
    </row>
    <row r="43" spans="2:14">
      <c r="B43" s="145"/>
      <c r="C43" s="165"/>
      <c r="D43" s="165"/>
      <c r="E43" s="164"/>
      <c r="F43" s="132">
        <f>IFERROR(E43*VLOOKUP(D43,'BDD FE'!$B$130:$H$148,6,0)*10^-3,0)</f>
        <v>0</v>
      </c>
      <c r="H43" s="130"/>
      <c r="K43" s="174"/>
      <c r="L43" s="633"/>
      <c r="M43" s="634"/>
      <c r="N43" s="635"/>
    </row>
    <row r="44" spans="2:14">
      <c r="B44" s="145"/>
      <c r="C44" s="165"/>
      <c r="D44" s="165"/>
      <c r="E44" s="164"/>
      <c r="F44" s="132">
        <f>IFERROR(E44*VLOOKUP(D44,'BDD FE'!$B$130:$H$148,6,0)*10^-3,0)</f>
        <v>0</v>
      </c>
      <c r="H44" s="130"/>
      <c r="K44" s="174"/>
      <c r="L44" s="633"/>
      <c r="M44" s="634"/>
      <c r="N44" s="635"/>
    </row>
    <row r="45" spans="2:14">
      <c r="B45" s="145"/>
      <c r="C45" s="130"/>
      <c r="D45" s="130"/>
      <c r="E45" s="130"/>
      <c r="F45" s="132">
        <f>SUM(F16:F44)</f>
        <v>0</v>
      </c>
      <c r="H45" s="130"/>
      <c r="K45" s="174"/>
      <c r="L45" s="639"/>
      <c r="M45" s="640"/>
      <c r="N45" s="641"/>
    </row>
    <row r="46" spans="2:14">
      <c r="B46" s="127"/>
      <c r="C46" s="111"/>
      <c r="D46" s="111"/>
      <c r="E46" s="111"/>
      <c r="F46" s="111"/>
      <c r="G46" s="111"/>
      <c r="H46" s="111"/>
      <c r="I46" s="111"/>
      <c r="J46" s="111"/>
      <c r="K46" s="174"/>
      <c r="L46" s="145"/>
      <c r="N46" s="149"/>
    </row>
    <row r="47" spans="2:14">
      <c r="B47" s="127"/>
      <c r="C47" s="111"/>
      <c r="D47" s="111"/>
      <c r="E47" s="111"/>
      <c r="F47" s="111"/>
      <c r="G47" s="111"/>
      <c r="H47" s="111"/>
      <c r="I47" s="111"/>
      <c r="J47" s="111"/>
      <c r="K47" s="174"/>
      <c r="L47" s="145"/>
      <c r="N47" s="149"/>
    </row>
    <row r="48" spans="2:14">
      <c r="B48" s="127"/>
      <c r="C48" s="111"/>
      <c r="D48" s="111"/>
      <c r="E48" s="111"/>
      <c r="F48" s="111"/>
      <c r="G48" s="111"/>
      <c r="H48" s="111"/>
      <c r="I48" s="111"/>
      <c r="J48" s="111"/>
      <c r="K48" s="174"/>
      <c r="L48" s="145"/>
      <c r="N48" s="149"/>
    </row>
    <row r="49" spans="2:14" ht="15" thickBot="1">
      <c r="B49" s="127"/>
      <c r="C49" s="111"/>
      <c r="D49" s="111"/>
      <c r="E49" s="111"/>
      <c r="F49" s="111"/>
      <c r="G49" s="111"/>
      <c r="H49" s="111"/>
      <c r="I49" s="111"/>
      <c r="J49" s="111"/>
      <c r="K49" s="174"/>
      <c r="L49" s="150"/>
      <c r="M49" s="151"/>
      <c r="N49" s="152"/>
    </row>
    <row r="50" spans="2:14" ht="20">
      <c r="B50" s="665" t="s">
        <v>46</v>
      </c>
      <c r="C50" s="654"/>
      <c r="D50" s="654"/>
      <c r="E50" s="654"/>
      <c r="F50" s="654"/>
      <c r="G50" s="654"/>
      <c r="H50" s="654"/>
      <c r="I50" s="654"/>
      <c r="J50" s="654"/>
      <c r="K50" s="655"/>
    </row>
    <row r="51" spans="2:14">
      <c r="B51" s="145"/>
      <c r="C51"/>
      <c r="D51"/>
      <c r="E51"/>
      <c r="F51"/>
      <c r="G51"/>
      <c r="H51" s="130"/>
      <c r="I51" s="130"/>
      <c r="J51" s="130"/>
      <c r="K51" s="148"/>
    </row>
    <row r="52" spans="2:14">
      <c r="B52" s="145"/>
      <c r="C52" s="130"/>
      <c r="D52" s="168"/>
      <c r="E52" s="168"/>
      <c r="F52" s="168"/>
      <c r="G52" s="168"/>
      <c r="H52" s="130"/>
      <c r="I52" s="130"/>
      <c r="J52" s="130"/>
      <c r="K52" s="148"/>
    </row>
    <row r="53" spans="2:14">
      <c r="B53" s="145"/>
      <c r="C53" s="130"/>
      <c r="D53" s="669" t="s">
        <v>3816</v>
      </c>
      <c r="E53" s="668"/>
      <c r="F53" s="669" t="s">
        <v>3817</v>
      </c>
      <c r="G53" s="668"/>
      <c r="H53" s="130"/>
      <c r="I53" s="130"/>
      <c r="J53" s="130"/>
      <c r="K53" s="148"/>
    </row>
    <row r="54" spans="2:14" ht="39" customHeight="1">
      <c r="B54" s="145"/>
      <c r="C54" s="397" t="s">
        <v>81</v>
      </c>
      <c r="D54" s="117" t="s">
        <v>82</v>
      </c>
      <c r="E54" s="117" t="s">
        <v>23</v>
      </c>
      <c r="F54" s="117" t="s">
        <v>90</v>
      </c>
      <c r="G54" s="117" t="s">
        <v>23</v>
      </c>
      <c r="H54" s="472" t="s">
        <v>3908</v>
      </c>
      <c r="I54" s="130"/>
      <c r="J54" s="130"/>
      <c r="K54" s="148"/>
    </row>
    <row r="55" spans="2:14">
      <c r="B55" s="145"/>
      <c r="C55" s="477" t="s">
        <v>3955</v>
      </c>
      <c r="D55" s="153">
        <f t="shared" ref="D55:D72" si="0">SUMIFS($E$16:$E$44,$D$16:$D$44,C55,$C$16:$C$44,$D$53)</f>
        <v>0</v>
      </c>
      <c r="E55" s="171">
        <f t="shared" ref="E55:E73" si="1">SUMIFS($F$16:$F$44,$D$16:$D$44,C55,$C$16:$C$44,$D$53)</f>
        <v>0</v>
      </c>
      <c r="F55" s="153">
        <f t="shared" ref="F55:F73" si="2">SUMIFS($E$16:$E$44,$D$16:$D$44,C55,$C$16:$C$44,$F$53)</f>
        <v>0</v>
      </c>
      <c r="G55" s="171">
        <f t="shared" ref="G55:G73" si="3">SUMIFS($F$16:$F$44,$D$16:$D$44,C55,$C$16:$C$44,$F$53)</f>
        <v>0</v>
      </c>
      <c r="H55" s="478" t="s">
        <v>94</v>
      </c>
      <c r="I55" s="130"/>
      <c r="J55" s="130"/>
      <c r="K55" s="148"/>
    </row>
    <row r="56" spans="2:14">
      <c r="B56" s="145"/>
      <c r="C56" s="477" t="s">
        <v>3649</v>
      </c>
      <c r="D56" s="153">
        <f t="shared" si="0"/>
        <v>0</v>
      </c>
      <c r="E56" s="171">
        <f t="shared" si="1"/>
        <v>0</v>
      </c>
      <c r="F56" s="153">
        <f t="shared" si="2"/>
        <v>0</v>
      </c>
      <c r="G56" s="171">
        <f t="shared" si="3"/>
        <v>0</v>
      </c>
      <c r="H56" s="478" t="s">
        <v>94</v>
      </c>
      <c r="I56" s="130"/>
      <c r="J56" s="130"/>
      <c r="K56" s="148"/>
    </row>
    <row r="57" spans="2:14">
      <c r="B57" s="145"/>
      <c r="C57" s="477" t="s">
        <v>3650</v>
      </c>
      <c r="D57" s="153">
        <f t="shared" si="0"/>
        <v>0</v>
      </c>
      <c r="E57" s="171">
        <f t="shared" si="1"/>
        <v>0</v>
      </c>
      <c r="F57" s="153">
        <f t="shared" si="2"/>
        <v>0</v>
      </c>
      <c r="G57" s="171">
        <f t="shared" si="3"/>
        <v>0</v>
      </c>
      <c r="H57" s="477" t="s">
        <v>95</v>
      </c>
      <c r="I57" s="130"/>
      <c r="J57" s="130"/>
      <c r="K57" s="148"/>
    </row>
    <row r="58" spans="2:14">
      <c r="B58" s="145"/>
      <c r="C58" s="477" t="s">
        <v>3651</v>
      </c>
      <c r="D58" s="153">
        <f t="shared" si="0"/>
        <v>0</v>
      </c>
      <c r="E58" s="171">
        <f t="shared" si="1"/>
        <v>0</v>
      </c>
      <c r="F58" s="153">
        <f t="shared" si="2"/>
        <v>0</v>
      </c>
      <c r="G58" s="171">
        <f t="shared" si="3"/>
        <v>0</v>
      </c>
      <c r="H58" s="477" t="s">
        <v>95</v>
      </c>
      <c r="I58" s="130"/>
      <c r="J58" s="130"/>
      <c r="K58" s="148"/>
    </row>
    <row r="59" spans="2:14">
      <c r="B59" s="145"/>
      <c r="C59" s="477" t="s">
        <v>3652</v>
      </c>
      <c r="D59" s="153">
        <f t="shared" si="0"/>
        <v>0</v>
      </c>
      <c r="E59" s="171">
        <f t="shared" si="1"/>
        <v>0</v>
      </c>
      <c r="F59" s="153">
        <f t="shared" si="2"/>
        <v>0</v>
      </c>
      <c r="G59" s="171">
        <f t="shared" si="3"/>
        <v>0</v>
      </c>
      <c r="H59" s="478" t="s">
        <v>93</v>
      </c>
      <c r="I59" s="130"/>
      <c r="J59" s="130"/>
      <c r="K59" s="148"/>
    </row>
    <row r="60" spans="2:14">
      <c r="B60" s="145"/>
      <c r="C60" s="477" t="s">
        <v>3654</v>
      </c>
      <c r="D60" s="153">
        <f t="shared" si="0"/>
        <v>0</v>
      </c>
      <c r="E60" s="171">
        <f t="shared" si="1"/>
        <v>0</v>
      </c>
      <c r="F60" s="153">
        <f t="shared" si="2"/>
        <v>0</v>
      </c>
      <c r="G60" s="171">
        <f t="shared" si="3"/>
        <v>0</v>
      </c>
      <c r="H60" s="478" t="s">
        <v>93</v>
      </c>
      <c r="I60" s="130"/>
      <c r="J60" s="130"/>
      <c r="K60" s="148"/>
    </row>
    <row r="61" spans="2:14">
      <c r="B61" s="145"/>
      <c r="C61" s="477" t="s">
        <v>3656</v>
      </c>
      <c r="D61" s="153">
        <f t="shared" si="0"/>
        <v>0</v>
      </c>
      <c r="E61" s="171">
        <f t="shared" si="1"/>
        <v>0</v>
      </c>
      <c r="F61" s="153">
        <f t="shared" si="2"/>
        <v>0</v>
      </c>
      <c r="G61" s="171">
        <f t="shared" si="3"/>
        <v>0</v>
      </c>
      <c r="H61" s="477" t="s">
        <v>73</v>
      </c>
      <c r="I61" s="130"/>
      <c r="J61" s="130"/>
      <c r="K61" s="148"/>
    </row>
    <row r="62" spans="2:14">
      <c r="B62" s="145"/>
      <c r="C62" s="477" t="s">
        <v>3658</v>
      </c>
      <c r="D62" s="153">
        <f t="shared" si="0"/>
        <v>0</v>
      </c>
      <c r="E62" s="171">
        <f t="shared" si="1"/>
        <v>0</v>
      </c>
      <c r="F62" s="153">
        <f t="shared" si="2"/>
        <v>0</v>
      </c>
      <c r="G62" s="171">
        <f t="shared" si="3"/>
        <v>0</v>
      </c>
      <c r="H62" s="477" t="s">
        <v>73</v>
      </c>
      <c r="I62" s="130"/>
      <c r="J62" s="130"/>
      <c r="K62" s="148"/>
    </row>
    <row r="63" spans="2:14">
      <c r="B63" s="145"/>
      <c r="C63" s="477" t="s">
        <v>3659</v>
      </c>
      <c r="D63" s="153">
        <f t="shared" si="0"/>
        <v>0</v>
      </c>
      <c r="E63" s="171">
        <f t="shared" si="1"/>
        <v>0</v>
      </c>
      <c r="F63" s="153">
        <f t="shared" si="2"/>
        <v>0</v>
      </c>
      <c r="G63" s="171">
        <f t="shared" si="3"/>
        <v>0</v>
      </c>
      <c r="H63" s="477" t="s">
        <v>73</v>
      </c>
      <c r="I63" s="130"/>
      <c r="J63" s="130"/>
      <c r="K63" s="148"/>
    </row>
    <row r="64" spans="2:14">
      <c r="B64" s="145"/>
      <c r="C64" s="477" t="s">
        <v>3660</v>
      </c>
      <c r="D64" s="153">
        <f t="shared" si="0"/>
        <v>0</v>
      </c>
      <c r="E64" s="171">
        <f t="shared" si="1"/>
        <v>0</v>
      </c>
      <c r="F64" s="153">
        <f t="shared" si="2"/>
        <v>0</v>
      </c>
      <c r="G64" s="171">
        <f t="shared" si="3"/>
        <v>0</v>
      </c>
      <c r="H64" s="477" t="s">
        <v>73</v>
      </c>
      <c r="I64" s="130"/>
      <c r="J64" s="130"/>
      <c r="K64" s="148"/>
    </row>
    <row r="65" spans="2:11">
      <c r="B65" s="145"/>
      <c r="C65" s="477" t="s">
        <v>3661</v>
      </c>
      <c r="D65" s="153">
        <f t="shared" si="0"/>
        <v>0</v>
      </c>
      <c r="E65" s="171">
        <f t="shared" si="1"/>
        <v>0</v>
      </c>
      <c r="F65" s="153">
        <f t="shared" si="2"/>
        <v>0</v>
      </c>
      <c r="G65" s="171">
        <f t="shared" si="3"/>
        <v>0</v>
      </c>
      <c r="H65" s="478" t="s">
        <v>93</v>
      </c>
      <c r="I65" s="130"/>
      <c r="J65" s="130"/>
      <c r="K65" s="148"/>
    </row>
    <row r="66" spans="2:11">
      <c r="B66" s="145"/>
      <c r="C66" s="477" t="s">
        <v>3663</v>
      </c>
      <c r="D66" s="153">
        <f t="shared" si="0"/>
        <v>0</v>
      </c>
      <c r="E66" s="171">
        <f t="shared" si="1"/>
        <v>0</v>
      </c>
      <c r="F66" s="153">
        <f t="shared" si="2"/>
        <v>0</v>
      </c>
      <c r="G66" s="171">
        <f t="shared" si="3"/>
        <v>0</v>
      </c>
      <c r="H66" s="477" t="s">
        <v>3913</v>
      </c>
      <c r="I66" s="130"/>
      <c r="J66" s="130"/>
      <c r="K66" s="148"/>
    </row>
    <row r="67" spans="2:11">
      <c r="B67" s="145"/>
      <c r="C67" s="477" t="s">
        <v>3975</v>
      </c>
      <c r="D67" s="153">
        <f t="shared" si="0"/>
        <v>0</v>
      </c>
      <c r="E67" s="171">
        <f t="shared" si="1"/>
        <v>0</v>
      </c>
      <c r="F67" s="153">
        <f t="shared" si="2"/>
        <v>0</v>
      </c>
      <c r="G67" s="171">
        <f t="shared" si="3"/>
        <v>0</v>
      </c>
      <c r="H67" s="477" t="s">
        <v>93</v>
      </c>
      <c r="I67" s="130"/>
      <c r="J67" s="130"/>
      <c r="K67" s="148"/>
    </row>
    <row r="68" spans="2:11">
      <c r="B68" s="145"/>
      <c r="C68" s="477" t="s">
        <v>91</v>
      </c>
      <c r="D68" s="153">
        <f t="shared" si="0"/>
        <v>0</v>
      </c>
      <c r="E68" s="171">
        <f t="shared" si="1"/>
        <v>0</v>
      </c>
      <c r="F68" s="153">
        <f t="shared" si="2"/>
        <v>0</v>
      </c>
      <c r="G68" s="171">
        <f t="shared" si="3"/>
        <v>0</v>
      </c>
      <c r="H68" s="478" t="s">
        <v>93</v>
      </c>
      <c r="I68" s="130"/>
      <c r="J68" s="130"/>
      <c r="K68" s="148"/>
    </row>
    <row r="69" spans="2:11">
      <c r="B69" s="145"/>
      <c r="C69" s="477" t="s">
        <v>3949</v>
      </c>
      <c r="D69" s="153">
        <f t="shared" si="0"/>
        <v>0</v>
      </c>
      <c r="E69" s="171">
        <f t="shared" si="1"/>
        <v>0</v>
      </c>
      <c r="F69" s="153">
        <f t="shared" si="2"/>
        <v>0</v>
      </c>
      <c r="G69" s="171">
        <f t="shared" si="3"/>
        <v>0</v>
      </c>
      <c r="H69" s="478" t="s">
        <v>93</v>
      </c>
      <c r="I69" s="130"/>
      <c r="J69" s="130"/>
      <c r="K69" s="148"/>
    </row>
    <row r="70" spans="2:11">
      <c r="B70" s="145"/>
      <c r="C70" s="477" t="s">
        <v>3665</v>
      </c>
      <c r="D70" s="153">
        <f t="shared" si="0"/>
        <v>0</v>
      </c>
      <c r="E70" s="171">
        <f t="shared" si="1"/>
        <v>0</v>
      </c>
      <c r="F70" s="153">
        <f t="shared" si="2"/>
        <v>0</v>
      </c>
      <c r="G70" s="171">
        <f t="shared" si="3"/>
        <v>0</v>
      </c>
      <c r="H70" s="477" t="s">
        <v>73</v>
      </c>
      <c r="I70" s="130"/>
      <c r="J70" s="130"/>
      <c r="K70" s="148"/>
    </row>
    <row r="71" spans="2:11">
      <c r="B71" s="145"/>
      <c r="C71" s="477" t="s">
        <v>3667</v>
      </c>
      <c r="D71" s="153">
        <f t="shared" si="0"/>
        <v>0</v>
      </c>
      <c r="E71" s="171">
        <f t="shared" si="1"/>
        <v>0</v>
      </c>
      <c r="F71" s="153">
        <f t="shared" si="2"/>
        <v>0</v>
      </c>
      <c r="G71" s="171">
        <f t="shared" si="3"/>
        <v>0</v>
      </c>
      <c r="H71" s="477" t="s">
        <v>73</v>
      </c>
      <c r="I71" s="130"/>
      <c r="J71" s="130"/>
      <c r="K71" s="148"/>
    </row>
    <row r="72" spans="2:11">
      <c r="B72" s="145"/>
      <c r="C72" s="477" t="s">
        <v>3669</v>
      </c>
      <c r="D72" s="153">
        <f t="shared" si="0"/>
        <v>0</v>
      </c>
      <c r="E72" s="171">
        <f t="shared" si="1"/>
        <v>0</v>
      </c>
      <c r="F72" s="153">
        <f t="shared" si="2"/>
        <v>0</v>
      </c>
      <c r="G72" s="171">
        <f t="shared" si="3"/>
        <v>0</v>
      </c>
      <c r="H72" s="477" t="s">
        <v>73</v>
      </c>
      <c r="I72" s="130"/>
      <c r="J72" s="130"/>
      <c r="K72" s="148"/>
    </row>
    <row r="73" spans="2:11">
      <c r="B73" s="145"/>
      <c r="C73" s="477" t="s">
        <v>3670</v>
      </c>
      <c r="D73" s="153">
        <f>SUMIFS($E$16:$E$44,$D$16:$D$44,C73,$C$16:$C$44,$D$53)</f>
        <v>0</v>
      </c>
      <c r="E73" s="171">
        <f t="shared" si="1"/>
        <v>0</v>
      </c>
      <c r="F73" s="153">
        <f t="shared" si="2"/>
        <v>0</v>
      </c>
      <c r="G73" s="171">
        <f t="shared" si="3"/>
        <v>0</v>
      </c>
      <c r="H73" s="477" t="s">
        <v>73</v>
      </c>
      <c r="I73" s="130"/>
      <c r="J73" s="130"/>
      <c r="K73" s="148"/>
    </row>
    <row r="74" spans="2:11">
      <c r="B74" s="145"/>
      <c r="C74" s="130"/>
      <c r="D74" s="168"/>
      <c r="E74" s="168"/>
      <c r="F74" s="168"/>
      <c r="G74" s="168"/>
      <c r="H74" s="130"/>
      <c r="I74" s="130"/>
      <c r="J74" s="130"/>
      <c r="K74" s="148"/>
    </row>
    <row r="75" spans="2:11">
      <c r="B75" s="145"/>
      <c r="C75" s="130"/>
      <c r="D75" s="168"/>
      <c r="E75" s="168"/>
      <c r="F75" s="168"/>
      <c r="G75" s="168"/>
      <c r="H75" s="130"/>
      <c r="I75" s="130"/>
      <c r="J75" s="130"/>
      <c r="K75" s="148"/>
    </row>
    <row r="76" spans="2:11" ht="14.4" customHeight="1">
      <c r="B76" s="145"/>
      <c r="C76" s="130"/>
      <c r="D76" s="168"/>
      <c r="E76" s="168"/>
      <c r="F76" s="168"/>
      <c r="G76" s="168"/>
      <c r="H76" s="130"/>
      <c r="I76" s="130"/>
      <c r="J76" s="130"/>
      <c r="K76" s="148"/>
    </row>
    <row r="77" spans="2:11">
      <c r="B77" s="145"/>
      <c r="C77" s="130"/>
      <c r="D77" s="669" t="s">
        <v>3816</v>
      </c>
      <c r="E77" s="668"/>
      <c r="F77" s="669" t="s">
        <v>3817</v>
      </c>
      <c r="G77" s="668"/>
      <c r="H77" s="667" t="s">
        <v>3360</v>
      </c>
      <c r="I77" s="668"/>
      <c r="J77" s="130"/>
      <c r="K77" s="148"/>
    </row>
    <row r="78" spans="2:11" ht="25">
      <c r="B78" s="145"/>
      <c r="C78" s="472" t="s">
        <v>3908</v>
      </c>
      <c r="D78" s="117" t="s">
        <v>82</v>
      </c>
      <c r="E78" s="117" t="s">
        <v>23</v>
      </c>
      <c r="F78" s="117" t="s">
        <v>90</v>
      </c>
      <c r="G78" s="117" t="s">
        <v>23</v>
      </c>
      <c r="H78" s="117" t="s">
        <v>82</v>
      </c>
      <c r="I78" s="117" t="s">
        <v>23</v>
      </c>
      <c r="J78" s="130"/>
      <c r="K78" s="148"/>
    </row>
    <row r="79" spans="2:11">
      <c r="B79" s="145"/>
      <c r="C79" s="477" t="s">
        <v>95</v>
      </c>
      <c r="D79" s="153">
        <f>SUMIFS($D$55:$D$73,$H$55:$H$73,C79)</f>
        <v>0</v>
      </c>
      <c r="E79" s="132">
        <f>SUMIFS($E$55:$E$73,$H$55:$H$73,C79)</f>
        <v>0</v>
      </c>
      <c r="F79" s="153">
        <f>SUMIFS($F$55:$F$73,$H$55:$H$73,C79)</f>
        <v>0</v>
      </c>
      <c r="G79" s="132">
        <f>SUMIFS($G$55:$G$73,$H$55:$H$73,C79)</f>
        <v>0</v>
      </c>
      <c r="H79" s="172">
        <f>SUM(D79,F79)</f>
        <v>0</v>
      </c>
      <c r="I79" s="132">
        <f t="shared" ref="I79:I83" si="4">SUM(E79,G79)</f>
        <v>0</v>
      </c>
      <c r="K79" s="174"/>
    </row>
    <row r="80" spans="2:11">
      <c r="B80" s="145"/>
      <c r="C80" s="477" t="s">
        <v>94</v>
      </c>
      <c r="D80" s="153">
        <f>SUMIFS($D$55:$D$73,$H$55:$H$73,C80)</f>
        <v>0</v>
      </c>
      <c r="E80" s="132">
        <f>SUMIFS($E$55:$E$73,$H$55:$H$73,C80)</f>
        <v>0</v>
      </c>
      <c r="F80" s="153">
        <f>SUMIFS($F$55:$F$73,$H$55:$H$73,C80)</f>
        <v>0</v>
      </c>
      <c r="G80" s="132">
        <f>SUMIFS($G$55:$G$73,$H$55:$H$73,C80)</f>
        <v>0</v>
      </c>
      <c r="H80" s="172">
        <f t="shared" ref="H80:H83" si="5">SUM(D80,F80)</f>
        <v>0</v>
      </c>
      <c r="I80" s="132">
        <f t="shared" si="4"/>
        <v>0</v>
      </c>
      <c r="K80" s="174"/>
    </row>
    <row r="81" spans="2:11">
      <c r="B81" s="145"/>
      <c r="C81" s="477" t="s">
        <v>3913</v>
      </c>
      <c r="D81" s="153">
        <f>SUMIFS($D$55:$D$73,$H$55:$H$73,C81)</f>
        <v>0</v>
      </c>
      <c r="E81" s="132">
        <f>SUMIFS($E$55:$E$73,$H$55:$H$73,C81)</f>
        <v>0</v>
      </c>
      <c r="F81" s="153">
        <f>SUMIFS($F$55:$F$73,$H$55:$H$73,C81)</f>
        <v>0</v>
      </c>
      <c r="G81" s="132">
        <f>SUMIFS($G$55:$G$73,$H$55:$H$73,C81)</f>
        <v>0</v>
      </c>
      <c r="H81" s="172">
        <f t="shared" si="5"/>
        <v>0</v>
      </c>
      <c r="I81" s="132">
        <f t="shared" si="4"/>
        <v>0</v>
      </c>
      <c r="K81" s="174"/>
    </row>
    <row r="82" spans="2:11">
      <c r="B82" s="145"/>
      <c r="C82" s="477" t="s">
        <v>93</v>
      </c>
      <c r="D82" s="153">
        <f>SUMIFS($D$55:$D$73,$H$55:$H$73,C82)</f>
        <v>0</v>
      </c>
      <c r="E82" s="132">
        <f>SUMIFS($E$55:$E$73,$H$55:$H$73,C82)</f>
        <v>0</v>
      </c>
      <c r="F82" s="153">
        <f>SUMIFS($F$55:$F$73,$H$55:$H$73,C82)</f>
        <v>0</v>
      </c>
      <c r="G82" s="132">
        <f>SUMIFS($G$55:$G$73,$H$55:$H$73,C82)</f>
        <v>0</v>
      </c>
      <c r="H82" s="172">
        <f t="shared" si="5"/>
        <v>0</v>
      </c>
      <c r="I82" s="132">
        <f t="shared" si="4"/>
        <v>0</v>
      </c>
      <c r="K82" s="174"/>
    </row>
    <row r="83" spans="2:11">
      <c r="B83" s="145"/>
      <c r="C83" s="477" t="s">
        <v>73</v>
      </c>
      <c r="D83" s="153">
        <f>SUMIFS($D$55:$D$73,$H$55:$H$73,C83)</f>
        <v>0</v>
      </c>
      <c r="E83" s="132">
        <f>SUMIFS($E$55:$E$73,$H$55:$H$73,C83)</f>
        <v>0</v>
      </c>
      <c r="F83" s="153">
        <f>SUMIFS($F$55:$F$73,$H$55:$H$73,C83)</f>
        <v>0</v>
      </c>
      <c r="G83" s="132">
        <f>SUMIFS($G$55:$G$73,$H$55:$H$73,C83)</f>
        <v>0</v>
      </c>
      <c r="H83" s="172">
        <f t="shared" si="5"/>
        <v>0</v>
      </c>
      <c r="I83" s="132">
        <f t="shared" si="4"/>
        <v>0</v>
      </c>
      <c r="K83" s="174"/>
    </row>
    <row r="84" spans="2:11">
      <c r="B84" s="145"/>
      <c r="C84" s="130"/>
      <c r="K84" s="174"/>
    </row>
    <row r="85" spans="2:11">
      <c r="B85" s="145"/>
      <c r="C85" s="130"/>
      <c r="K85" s="174"/>
    </row>
    <row r="86" spans="2:11">
      <c r="B86" s="145"/>
      <c r="C86" s="130"/>
      <c r="K86" s="174"/>
    </row>
    <row r="87" spans="2:11">
      <c r="B87" s="145"/>
      <c r="C87" s="130"/>
      <c r="K87" s="174"/>
    </row>
    <row r="88" spans="2:11">
      <c r="B88" s="145"/>
      <c r="C88" s="130"/>
      <c r="K88" s="174"/>
    </row>
    <row r="89" spans="2:11">
      <c r="B89" s="145"/>
      <c r="C89" s="130"/>
      <c r="K89" s="174"/>
    </row>
    <row r="90" spans="2:11">
      <c r="B90" s="145"/>
      <c r="C90" s="130"/>
      <c r="D90" s="130"/>
      <c r="E90" s="130"/>
      <c r="F90" s="130"/>
      <c r="G90" s="130"/>
      <c r="H90" s="130"/>
      <c r="K90" s="174"/>
    </row>
    <row r="91" spans="2:11">
      <c r="B91" s="145"/>
      <c r="F91" s="130"/>
      <c r="G91" s="130"/>
      <c r="H91" s="130"/>
      <c r="K91" s="174"/>
    </row>
    <row r="92" spans="2:11">
      <c r="B92" s="145"/>
      <c r="F92" s="130"/>
      <c r="G92" s="130"/>
      <c r="H92" s="130"/>
      <c r="K92" s="174"/>
    </row>
    <row r="93" spans="2:11">
      <c r="B93" s="145"/>
      <c r="F93" s="130"/>
      <c r="G93" s="130"/>
      <c r="H93" s="130"/>
      <c r="K93" s="174"/>
    </row>
    <row r="94" spans="2:11">
      <c r="B94" s="145"/>
      <c r="F94" s="130"/>
      <c r="G94" s="130"/>
      <c r="H94" s="130"/>
      <c r="K94" s="174"/>
    </row>
    <row r="95" spans="2:11">
      <c r="B95" s="145"/>
      <c r="F95" s="130"/>
      <c r="G95" s="130"/>
      <c r="H95" s="130"/>
      <c r="K95" s="174"/>
    </row>
    <row r="96" spans="2:11">
      <c r="B96" s="145"/>
      <c r="F96" s="130"/>
      <c r="G96" s="130"/>
      <c r="H96" s="130"/>
      <c r="K96" s="174"/>
    </row>
    <row r="97" spans="2:11">
      <c r="B97" s="145"/>
      <c r="C97" s="160"/>
      <c r="D97" s="160"/>
      <c r="E97" s="160"/>
      <c r="F97" s="160"/>
      <c r="G97" s="130"/>
      <c r="H97" s="130"/>
      <c r="K97" s="174"/>
    </row>
    <row r="98" spans="2:11">
      <c r="B98" s="145"/>
      <c r="C98" s="130"/>
      <c r="D98" s="130"/>
      <c r="E98" s="130"/>
      <c r="F98" s="130"/>
      <c r="G98" s="130"/>
      <c r="H98" s="130"/>
      <c r="K98" s="174"/>
    </row>
    <row r="99" spans="2:11">
      <c r="B99" s="145"/>
      <c r="C99" s="130"/>
      <c r="D99" s="130"/>
      <c r="E99" s="130"/>
      <c r="F99" s="130"/>
      <c r="G99" s="130"/>
      <c r="H99" s="130"/>
      <c r="I99" s="130"/>
      <c r="J99" s="176"/>
      <c r="K99" s="177"/>
    </row>
    <row r="100" spans="2:11">
      <c r="B100" s="145"/>
      <c r="C100" s="130"/>
      <c r="D100" s="130"/>
      <c r="E100" s="130"/>
      <c r="F100" s="130"/>
      <c r="G100" s="130"/>
      <c r="H100" s="130"/>
      <c r="I100" s="130"/>
      <c r="J100" s="176"/>
      <c r="K100" s="177"/>
    </row>
    <row r="101" spans="2:11">
      <c r="B101" s="145"/>
      <c r="C101" s="130"/>
      <c r="D101" s="130"/>
      <c r="E101" s="130"/>
      <c r="F101" s="130"/>
      <c r="G101" s="130"/>
      <c r="H101" s="130"/>
      <c r="I101" s="130"/>
      <c r="J101" s="176"/>
      <c r="K101" s="177"/>
    </row>
    <row r="102" spans="2:11">
      <c r="B102" s="145"/>
      <c r="C102" s="130"/>
      <c r="D102" s="130"/>
      <c r="E102" s="130"/>
      <c r="F102" s="130"/>
      <c r="G102" s="130"/>
      <c r="H102" s="130"/>
      <c r="I102" s="130"/>
      <c r="J102" s="176"/>
      <c r="K102" s="177"/>
    </row>
    <row r="103" spans="2:11">
      <c r="B103" s="145"/>
      <c r="C103" s="130"/>
      <c r="D103" s="130"/>
      <c r="E103" s="130"/>
      <c r="F103" s="130"/>
      <c r="G103" s="130"/>
      <c r="H103" s="130"/>
      <c r="I103" s="130"/>
      <c r="J103" s="176"/>
      <c r="K103" s="177"/>
    </row>
    <row r="104" spans="2:11">
      <c r="B104" s="145"/>
      <c r="C104" s="130"/>
      <c r="D104" s="130"/>
      <c r="E104" s="130"/>
      <c r="F104" s="130"/>
      <c r="G104" s="130"/>
      <c r="H104" s="130"/>
      <c r="I104" s="130"/>
      <c r="J104" s="176"/>
      <c r="K104" s="177"/>
    </row>
    <row r="105" spans="2:11">
      <c r="B105" s="145"/>
      <c r="C105" s="130"/>
      <c r="D105" s="130"/>
      <c r="E105" s="130"/>
      <c r="F105" s="130"/>
      <c r="G105" s="130"/>
      <c r="H105" s="130"/>
      <c r="I105" s="130"/>
      <c r="J105" s="176"/>
      <c r="K105" s="177"/>
    </row>
    <row r="106" spans="2:11">
      <c r="B106" s="145"/>
      <c r="C106" s="130"/>
      <c r="D106" s="130"/>
      <c r="E106" s="130"/>
      <c r="F106" s="130"/>
      <c r="G106" s="130"/>
      <c r="H106" s="130"/>
      <c r="I106" s="130"/>
      <c r="J106" s="176"/>
      <c r="K106" s="177"/>
    </row>
    <row r="107" spans="2:11">
      <c r="B107" s="145"/>
      <c r="C107" s="130"/>
      <c r="D107" s="130"/>
      <c r="E107" s="130"/>
      <c r="F107" s="130"/>
      <c r="G107" s="130"/>
      <c r="H107" s="130"/>
      <c r="I107" s="130"/>
      <c r="J107" s="176"/>
      <c r="K107" s="177"/>
    </row>
    <row r="108" spans="2:11">
      <c r="B108" s="145"/>
      <c r="C108" s="130"/>
      <c r="D108" s="130"/>
      <c r="E108" s="130"/>
      <c r="F108" s="130"/>
      <c r="G108" s="130"/>
      <c r="H108" s="130"/>
      <c r="I108" s="130"/>
      <c r="J108" s="176"/>
      <c r="K108" s="177"/>
    </row>
    <row r="109" spans="2:11">
      <c r="B109" s="145"/>
      <c r="C109" s="130"/>
      <c r="D109" s="130"/>
      <c r="E109" s="130"/>
      <c r="F109" s="130"/>
      <c r="G109" s="130"/>
      <c r="H109" s="130"/>
      <c r="I109" s="130"/>
      <c r="J109" s="176"/>
      <c r="K109" s="177"/>
    </row>
    <row r="110" spans="2:11">
      <c r="B110" s="145"/>
      <c r="C110" s="130"/>
      <c r="D110" s="130"/>
      <c r="E110" s="130"/>
      <c r="F110" s="130"/>
      <c r="G110" s="130"/>
      <c r="H110" s="130"/>
      <c r="I110" s="130"/>
      <c r="J110" s="176"/>
      <c r="K110" s="177"/>
    </row>
    <row r="111" spans="2:11">
      <c r="B111" s="145"/>
      <c r="C111" s="130"/>
      <c r="D111" s="130"/>
      <c r="E111" s="130"/>
      <c r="F111" s="130"/>
      <c r="G111" s="130"/>
      <c r="H111" s="130"/>
      <c r="I111" s="130"/>
      <c r="J111" s="176"/>
      <c r="K111" s="177"/>
    </row>
    <row r="112" spans="2:11">
      <c r="B112" s="145"/>
      <c r="C112" s="130"/>
      <c r="D112" s="130"/>
      <c r="E112" s="130"/>
      <c r="F112" s="130"/>
      <c r="G112" s="130"/>
      <c r="H112" s="130"/>
      <c r="I112" s="130"/>
      <c r="J112" s="176"/>
      <c r="K112" s="177"/>
    </row>
    <row r="113" spans="2:11">
      <c r="B113" s="145"/>
      <c r="C113" s="130"/>
      <c r="D113" s="130"/>
      <c r="E113" s="130"/>
      <c r="F113" s="130"/>
      <c r="G113" s="130"/>
      <c r="H113" s="130"/>
      <c r="I113" s="130"/>
      <c r="J113" s="176"/>
      <c r="K113" s="177"/>
    </row>
    <row r="114" spans="2:11">
      <c r="B114" s="145"/>
      <c r="C114" s="130"/>
      <c r="D114" s="130"/>
      <c r="E114" s="130"/>
      <c r="F114" s="130"/>
      <c r="G114" s="130"/>
      <c r="H114" s="130"/>
      <c r="I114" s="130"/>
      <c r="J114" s="176"/>
      <c r="K114" s="177"/>
    </row>
    <row r="115" spans="2:11">
      <c r="B115" s="145"/>
      <c r="C115" s="130"/>
      <c r="D115" s="130"/>
      <c r="E115" s="130"/>
      <c r="F115" s="130"/>
      <c r="G115" s="130"/>
      <c r="H115" s="130"/>
      <c r="I115" s="130"/>
      <c r="J115" s="176"/>
      <c r="K115" s="177"/>
    </row>
    <row r="116" spans="2:11">
      <c r="B116" s="145"/>
      <c r="C116" s="130"/>
      <c r="D116" s="130"/>
      <c r="E116" s="130"/>
      <c r="F116" s="130"/>
      <c r="G116" s="130"/>
      <c r="H116" s="130"/>
      <c r="I116" s="130"/>
      <c r="J116" s="176"/>
      <c r="K116" s="177"/>
    </row>
    <row r="117" spans="2:11">
      <c r="B117" s="145"/>
      <c r="C117" s="130"/>
      <c r="D117" s="130"/>
      <c r="E117" s="130"/>
      <c r="F117" s="130"/>
      <c r="G117" s="130"/>
      <c r="H117" s="130"/>
      <c r="I117" s="130"/>
      <c r="J117" s="176"/>
      <c r="K117" s="177"/>
    </row>
    <row r="118" spans="2:11">
      <c r="B118" s="145"/>
      <c r="C118" s="130"/>
      <c r="D118" s="130"/>
      <c r="E118" s="130"/>
      <c r="F118" s="130"/>
      <c r="G118" s="130"/>
      <c r="H118" s="130"/>
      <c r="I118" s="130"/>
      <c r="J118" s="176"/>
      <c r="K118" s="177"/>
    </row>
    <row r="119" spans="2:11">
      <c r="B119" s="145"/>
      <c r="C119" s="130"/>
      <c r="D119" s="130"/>
      <c r="E119" s="130"/>
      <c r="F119" s="130"/>
      <c r="G119" s="130"/>
      <c r="H119" s="130"/>
      <c r="I119" s="130"/>
      <c r="J119" s="176"/>
      <c r="K119" s="177"/>
    </row>
    <row r="120" spans="2:11">
      <c r="B120" s="145"/>
      <c r="C120" s="130"/>
      <c r="D120" s="130"/>
      <c r="E120" s="130"/>
      <c r="F120" s="130"/>
      <c r="G120" s="130"/>
      <c r="H120" s="130"/>
      <c r="I120" s="130"/>
      <c r="J120" s="176"/>
      <c r="K120" s="177"/>
    </row>
    <row r="121" spans="2:11">
      <c r="B121" s="145"/>
      <c r="C121" s="130"/>
      <c r="D121" s="130"/>
      <c r="E121" s="130"/>
      <c r="F121" s="130"/>
      <c r="G121" s="130"/>
      <c r="H121" s="130"/>
      <c r="I121" s="130"/>
      <c r="J121" s="130"/>
      <c r="K121" s="148"/>
    </row>
    <row r="122" spans="2:11">
      <c r="B122" s="145"/>
      <c r="C122" s="169"/>
      <c r="D122" s="169"/>
      <c r="E122" s="169"/>
      <c r="F122" s="169"/>
      <c r="G122" s="169"/>
      <c r="H122" s="169"/>
      <c r="I122" s="169"/>
      <c r="J122" s="169"/>
      <c r="K122" s="178"/>
    </row>
    <row r="123" spans="2:11">
      <c r="B123" s="145"/>
      <c r="K123" s="174"/>
    </row>
    <row r="124" spans="2:11">
      <c r="B124" s="145"/>
      <c r="K124" s="174"/>
    </row>
    <row r="125" spans="2:11">
      <c r="B125" s="145"/>
      <c r="K125" s="174"/>
    </row>
    <row r="126" spans="2:11">
      <c r="B126" s="145"/>
      <c r="K126" s="174"/>
    </row>
    <row r="127" spans="2:11">
      <c r="B127" s="145"/>
      <c r="K127" s="174"/>
    </row>
    <row r="128" spans="2:11">
      <c r="B128" s="145"/>
      <c r="K128" s="174"/>
    </row>
    <row r="129" spans="2:11">
      <c r="B129" s="145"/>
      <c r="K129" s="174"/>
    </row>
    <row r="130" spans="2:11" ht="15" thickBot="1">
      <c r="B130" s="150"/>
      <c r="C130" s="179"/>
      <c r="D130" s="179"/>
      <c r="E130" s="179"/>
      <c r="F130" s="179"/>
      <c r="G130" s="179"/>
      <c r="H130" s="179"/>
      <c r="I130" s="179"/>
      <c r="J130" s="179"/>
      <c r="K130" s="180"/>
    </row>
    <row r="131" spans="2:11"/>
    <row r="132" spans="2:11"/>
    <row r="133" spans="2:11"/>
    <row r="134" spans="2:11"/>
    <row r="135" spans="2:11"/>
    <row r="136" spans="2:11"/>
    <row r="137" spans="2:11"/>
    <row r="138" spans="2:11"/>
    <row r="139" spans="2:11"/>
    <row r="140" spans="2:11"/>
    <row r="141" spans="2:11"/>
    <row r="142" spans="2:11"/>
    <row r="143" spans="2:11"/>
    <row r="144" spans="2:11"/>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sheetData>
  <protectedRanges>
    <protectedRange sqref="J18 C16:E44" name="Plage1"/>
    <protectedRange sqref="L3:L7 L12:L15 L32:L42" name="Plage1_1"/>
  </protectedRanges>
  <mergeCells count="16">
    <mergeCell ref="H77:I77"/>
    <mergeCell ref="B1:K1"/>
    <mergeCell ref="D77:E77"/>
    <mergeCell ref="F77:G77"/>
    <mergeCell ref="D53:E53"/>
    <mergeCell ref="F53:G53"/>
    <mergeCell ref="C4:J13"/>
    <mergeCell ref="A1:A2"/>
    <mergeCell ref="L1:N1"/>
    <mergeCell ref="B50:K50"/>
    <mergeCell ref="L2:N2"/>
    <mergeCell ref="L3:N10"/>
    <mergeCell ref="L12:N30"/>
    <mergeCell ref="L31:N31"/>
    <mergeCell ref="L32:N45"/>
    <mergeCell ref="E2:G2"/>
  </mergeCells>
  <dataValidations count="1">
    <dataValidation type="list" allowBlank="1" showInputMessage="1" showErrorMessage="1" sqref="C16:C44" xr:uid="{C49D86A1-FAE2-41EA-9B77-F9C717381453}">
      <formula1>"Equipe permanente,Equipe intermittente"</formula1>
    </dataValidation>
  </dataValidations>
  <hyperlinks>
    <hyperlink ref="A10" location="'1_Votre Structure'!A1" display="Votre structure" xr:uid="{9753C2BF-22ED-4811-A20A-2F400A952B20}"/>
    <hyperlink ref="A11" location="'2_ConsoEnergieEau'!A1" display="Consommation d'énergie et d'eau" xr:uid="{BAB1F08C-2EAE-499A-8F5B-05C8836B19F3}"/>
    <hyperlink ref="A12" location="'3_Climatisation'!A1" display="Climatisation" xr:uid="{833C4DBA-AF45-4DB5-A1E9-B349BD00B9FE}"/>
    <hyperlink ref="A16" location="'7_DéplacementsProfessionnels'!A1" display="Déplacements professionnels" xr:uid="{FF48C895-A621-47B0-8395-0F2393B72E42}"/>
    <hyperlink ref="A17" location="'8_DéplacementsSalariés'!A1" display="Déplacements des salariés" xr:uid="{B99D4F89-5571-40E7-8B10-AD0D9BDB80D6}"/>
    <hyperlink ref="A21" location="'12_Equipements'!A1" display="Equipements" xr:uid="{A7386B40-88F3-468A-B980-3DA47D80DE1D}"/>
    <hyperlink ref="A14" location="'5_Déchets'!A1" display="Déchets" xr:uid="{B4F53CFE-7429-4E75-952C-BD074D77C9FC}"/>
    <hyperlink ref="A26" location="'17_TransportMatériel'!A1" display="Transport de matériel et d'œuvres" xr:uid="{095C2DEF-FC27-4AE8-9BE1-6EB35F60725C}"/>
    <hyperlink ref="A27" location="'18_ImpressionsComPapier'!A1" display="Impression et communication papier" xr:uid="{CCA9A355-F7FE-4E3D-8C00-FFC4C5B69D1C}"/>
    <hyperlink ref="A28" location="'19_ComDigitale'!A1" display="Communication digitale" xr:uid="{89153C9D-137F-4453-8505-847273F47C38}"/>
    <hyperlink ref="A29" location="'20_Billetterie'!A1" display="Billetterie" xr:uid="{D34E6DC9-246B-4FF2-AEE1-0AC4EAE9CC06}"/>
    <hyperlink ref="A24" location="'15_Alimentation'!A1" display="Alimentation" xr:uid="{96988B9E-6816-49BF-AAE4-E93472DF8883}"/>
    <hyperlink ref="A18" location="'9_DéplacementsVisiteurs'!A1" display="Déplacements des visiteurs" xr:uid="{83A82B41-9738-4A16-8B27-42D8EFF9B747}"/>
    <hyperlink ref="A19" location="'10_Tournées artistiques'!A1" display="Tournées artistiques" xr:uid="{A5B919C6-7215-46DE-AAA1-B5B136E3BB63}"/>
    <hyperlink ref="A20" location="'11_Artistes invité.e.s'!A1" display="Artistes invité.e.s" xr:uid="{EC9CD31A-88E5-49A9-B1CC-207BD084E4D8}"/>
    <hyperlink ref="A13" location="'4_Bâtiments,travaux, agcmt'!A1" display="Bâtiments, travaux et agencements" xr:uid="{3533E7B6-7E33-4253-92F8-0146082C9D02}"/>
    <hyperlink ref="A22" location="'13_Achats - Documents papiers'!A1" display="Achats - Documents papiers" xr:uid="{79234C2C-B1DD-41E1-8416-991B70B67FEC}"/>
    <hyperlink ref="A25" location="'16_Autres achats (€)'!A1" display="Autres achats" xr:uid="{31E3EB71-C3FF-453C-9516-ACE69C3CF312}"/>
    <hyperlink ref="A23" location="'14_Décors'!A1" display="Décors" xr:uid="{7B160A50-D6ED-4E44-8169-7E609D8C6AC8}"/>
    <hyperlink ref="A15" location="'6_DéplacementsPrestations'!A1" display="Déplacements de prestations" xr:uid="{89D65BB2-DECA-4508-AB72-64662A8558E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'BDD FE'!$B$130:$B$148</xm:f>
          </x14:formula1>
          <xm:sqref>D16:D44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K116"/>
  <sheetViews>
    <sheetView showGridLines="0" workbookViewId="0">
      <selection activeCell="C30" sqref="C30:D39"/>
    </sheetView>
  </sheetViews>
  <sheetFormatPr baseColWidth="10" defaultColWidth="0" defaultRowHeight="14.5" zeroHeight="1"/>
  <cols>
    <col min="1" max="1" width="25.81640625" bestFit="1" customWidth="1"/>
    <col min="2" max="2" width="18" style="112" customWidth="1"/>
    <col min="3" max="6" width="26.36328125" style="112" customWidth="1"/>
    <col min="7" max="7" width="18" style="112" customWidth="1"/>
    <col min="8" max="8" width="11.1796875" customWidth="1"/>
    <col min="9" max="10" width="11.453125" customWidth="1"/>
    <col min="11" max="11" width="11.453125" style="112" customWidth="1"/>
    <col min="12" max="16384" width="11.453125" style="112" hidden="1"/>
  </cols>
  <sheetData>
    <row r="1" spans="1:10" ht="21.25" customHeight="1" thickBot="1">
      <c r="A1" s="647" t="s">
        <v>3359</v>
      </c>
      <c r="B1" s="649" t="s">
        <v>3439</v>
      </c>
      <c r="C1" s="572"/>
      <c r="D1" s="572"/>
      <c r="E1" s="572"/>
      <c r="F1" s="572"/>
      <c r="G1" s="573"/>
      <c r="H1" s="656" t="s">
        <v>3391</v>
      </c>
      <c r="I1" s="657"/>
      <c r="J1" s="658"/>
    </row>
    <row r="2" spans="1:10" ht="18" thickBot="1">
      <c r="A2" s="648"/>
      <c r="B2" s="124"/>
      <c r="C2" s="111"/>
      <c r="E2" s="504">
        <f>SUM(E40)</f>
        <v>0</v>
      </c>
      <c r="F2" s="111"/>
      <c r="G2" s="126"/>
      <c r="H2" s="613" t="s">
        <v>3457</v>
      </c>
      <c r="I2" s="614"/>
      <c r="J2" s="615"/>
    </row>
    <row r="3" spans="1:10">
      <c r="A3" s="338"/>
      <c r="B3" s="124"/>
      <c r="C3" s="111"/>
      <c r="D3" s="111"/>
      <c r="E3" s="111"/>
      <c r="F3" s="111"/>
      <c r="G3" s="125"/>
      <c r="H3" s="633"/>
      <c r="I3" s="634"/>
      <c r="J3" s="635"/>
    </row>
    <row r="4" spans="1:10" ht="14.4" customHeight="1">
      <c r="A4" s="338"/>
      <c r="B4" s="124"/>
      <c r="C4" s="586" t="s">
        <v>4072</v>
      </c>
      <c r="D4" s="630"/>
      <c r="E4" s="630"/>
      <c r="F4" s="630"/>
      <c r="G4" s="125"/>
      <c r="H4" s="633"/>
      <c r="I4" s="634"/>
      <c r="J4" s="635"/>
    </row>
    <row r="5" spans="1:10" ht="14.4" customHeight="1">
      <c r="A5" s="338"/>
      <c r="B5" s="124"/>
      <c r="C5" s="586"/>
      <c r="D5" s="630"/>
      <c r="E5" s="630"/>
      <c r="F5" s="630"/>
      <c r="G5" s="125"/>
      <c r="H5" s="633"/>
      <c r="I5" s="634"/>
      <c r="J5" s="635"/>
    </row>
    <row r="6" spans="1:10" ht="14.4" customHeight="1">
      <c r="A6" s="338"/>
      <c r="B6" s="124"/>
      <c r="C6" s="586"/>
      <c r="D6" s="630"/>
      <c r="E6" s="630"/>
      <c r="F6" s="630"/>
      <c r="G6" s="125"/>
      <c r="H6" s="633"/>
      <c r="I6" s="634"/>
      <c r="J6" s="635"/>
    </row>
    <row r="7" spans="1:10" ht="14.4" customHeight="1">
      <c r="A7" s="338"/>
      <c r="B7" s="124"/>
      <c r="C7" s="586"/>
      <c r="D7" s="630"/>
      <c r="E7" s="630"/>
      <c r="F7" s="630"/>
      <c r="G7" s="125"/>
      <c r="H7" s="633"/>
      <c r="I7" s="634"/>
      <c r="J7" s="635"/>
    </row>
    <row r="8" spans="1:10" ht="14.4" customHeight="1">
      <c r="A8" s="338"/>
      <c r="B8" s="124"/>
      <c r="C8" s="630"/>
      <c r="D8" s="630"/>
      <c r="E8" s="630"/>
      <c r="F8" s="630"/>
      <c r="G8" s="125"/>
      <c r="H8" s="633"/>
      <c r="I8" s="634"/>
      <c r="J8" s="635"/>
    </row>
    <row r="9" spans="1:10" ht="12.9" customHeight="1">
      <c r="A9" s="341" t="s">
        <v>3357</v>
      </c>
      <c r="B9" s="124"/>
      <c r="C9" s="630"/>
      <c r="D9" s="630"/>
      <c r="E9" s="630"/>
      <c r="F9" s="630"/>
      <c r="G9" s="125"/>
      <c r="H9" s="639"/>
      <c r="I9" s="640"/>
      <c r="J9" s="641"/>
    </row>
    <row r="10" spans="1:10" ht="12.9" customHeight="1">
      <c r="A10" s="339" t="s">
        <v>3434</v>
      </c>
      <c r="B10" s="124"/>
      <c r="C10" s="630"/>
      <c r="D10" s="630"/>
      <c r="E10" s="630"/>
      <c r="F10" s="630"/>
      <c r="G10" s="125"/>
      <c r="H10" s="246" t="s">
        <v>3458</v>
      </c>
      <c r="I10" s="343"/>
      <c r="J10" s="344"/>
    </row>
    <row r="11" spans="1:10" ht="12.9" customHeight="1">
      <c r="A11" s="339" t="s">
        <v>7</v>
      </c>
      <c r="B11" s="124"/>
      <c r="C11" s="630"/>
      <c r="D11" s="630"/>
      <c r="E11" s="630"/>
      <c r="F11" s="630"/>
      <c r="G11" s="125"/>
      <c r="H11" s="633"/>
      <c r="I11" s="634"/>
      <c r="J11" s="635"/>
    </row>
    <row r="12" spans="1:10" ht="12.9" customHeight="1">
      <c r="A12" s="339" t="s">
        <v>3427</v>
      </c>
      <c r="B12" s="124"/>
      <c r="C12" s="630"/>
      <c r="D12" s="630"/>
      <c r="E12" s="630"/>
      <c r="F12" s="630"/>
      <c r="G12" s="125"/>
      <c r="H12" s="633"/>
      <c r="I12" s="634"/>
      <c r="J12" s="635"/>
    </row>
    <row r="13" spans="1:10" ht="12.9" customHeight="1">
      <c r="A13" s="340" t="s">
        <v>10</v>
      </c>
      <c r="B13" s="124"/>
      <c r="C13" s="630"/>
      <c r="D13" s="630"/>
      <c r="E13" s="630"/>
      <c r="F13" s="630"/>
      <c r="G13" s="125"/>
      <c r="H13" s="633"/>
      <c r="I13" s="634"/>
      <c r="J13" s="635"/>
    </row>
    <row r="14" spans="1:10" ht="12.9" customHeight="1">
      <c r="A14" s="340" t="s">
        <v>3645</v>
      </c>
      <c r="B14" s="124"/>
      <c r="C14" s="630"/>
      <c r="D14" s="630"/>
      <c r="E14" s="630"/>
      <c r="F14" s="630"/>
      <c r="G14" s="125"/>
      <c r="H14" s="633"/>
      <c r="I14" s="634"/>
      <c r="J14" s="635"/>
    </row>
    <row r="15" spans="1:10" ht="12.9" customHeight="1">
      <c r="A15" s="339" t="s">
        <v>3431</v>
      </c>
      <c r="B15" s="124"/>
      <c r="C15" s="630"/>
      <c r="D15" s="630"/>
      <c r="E15" s="630"/>
      <c r="F15" s="630"/>
      <c r="G15" s="125"/>
      <c r="H15" s="633"/>
      <c r="I15" s="634"/>
      <c r="J15" s="635"/>
    </row>
    <row r="16" spans="1:10" ht="12.9" customHeight="1">
      <c r="A16" s="340" t="s">
        <v>5</v>
      </c>
      <c r="B16" s="124"/>
      <c r="C16" s="630"/>
      <c r="D16" s="630"/>
      <c r="E16" s="630"/>
      <c r="F16" s="630"/>
      <c r="G16" s="125"/>
      <c r="H16" s="633"/>
      <c r="I16" s="634"/>
      <c r="J16" s="635"/>
    </row>
    <row r="17" spans="1:10" ht="12.9" customHeight="1">
      <c r="A17" s="339" t="s">
        <v>6</v>
      </c>
      <c r="B17" s="124"/>
      <c r="C17" s="630"/>
      <c r="D17" s="630"/>
      <c r="E17" s="630"/>
      <c r="F17" s="630"/>
      <c r="G17" s="125"/>
      <c r="H17" s="633"/>
      <c r="I17" s="634"/>
      <c r="J17" s="635"/>
    </row>
    <row r="18" spans="1:10" ht="12.5">
      <c r="A18" s="340" t="s">
        <v>12</v>
      </c>
      <c r="B18" s="124"/>
      <c r="C18" s="630"/>
      <c r="D18" s="630"/>
      <c r="E18" s="630"/>
      <c r="F18" s="630"/>
      <c r="G18" s="125"/>
      <c r="H18" s="633"/>
      <c r="I18" s="634"/>
      <c r="J18" s="635"/>
    </row>
    <row r="19" spans="1:10" ht="13">
      <c r="A19" s="340" t="s">
        <v>14</v>
      </c>
      <c r="B19" s="124"/>
      <c r="C19" s="175"/>
      <c r="D19" s="130"/>
      <c r="E19" s="130"/>
      <c r="F19" s="130"/>
      <c r="G19" s="148"/>
      <c r="H19" s="633"/>
      <c r="I19" s="634"/>
      <c r="J19" s="635"/>
    </row>
    <row r="20" spans="1:10" ht="25">
      <c r="A20" s="339" t="s">
        <v>3426</v>
      </c>
      <c r="B20" s="124"/>
      <c r="C20" s="117" t="s">
        <v>89</v>
      </c>
      <c r="D20" s="117" t="s">
        <v>117</v>
      </c>
      <c r="E20" s="117" t="s">
        <v>80</v>
      </c>
      <c r="G20" s="148"/>
      <c r="H20" s="633"/>
      <c r="I20" s="634"/>
      <c r="J20" s="635"/>
    </row>
    <row r="21" spans="1:10" ht="12.5">
      <c r="A21" s="340" t="s">
        <v>3918</v>
      </c>
      <c r="B21" s="124"/>
      <c r="C21" s="165"/>
      <c r="D21" s="164"/>
      <c r="E21" s="132">
        <f>IFERROR(D21*VLOOKUP(C21,'BDD FE'!$B$130:$H$148,6,0)*10^-3,0)</f>
        <v>0</v>
      </c>
      <c r="G21" s="148"/>
      <c r="H21" s="633"/>
      <c r="I21" s="634"/>
      <c r="J21" s="635"/>
    </row>
    <row r="22" spans="1:10" ht="12.5">
      <c r="A22" s="340" t="s">
        <v>3436</v>
      </c>
      <c r="B22" s="124"/>
      <c r="C22" s="165"/>
      <c r="D22" s="164"/>
      <c r="E22" s="132">
        <f>IFERROR(D22*VLOOKUP(C22,'BDD FE'!$B$130:$H$148,6,0)*10^-3,0)</f>
        <v>0</v>
      </c>
      <c r="G22" s="148"/>
      <c r="H22" s="633"/>
      <c r="I22" s="634"/>
      <c r="J22" s="635"/>
    </row>
    <row r="23" spans="1:10" ht="12.5">
      <c r="A23" s="340" t="s">
        <v>3378</v>
      </c>
      <c r="B23" s="124"/>
      <c r="C23" s="165"/>
      <c r="D23" s="164"/>
      <c r="E23" s="132">
        <f>IFERROR(D23*VLOOKUP(C23,'BDD FE'!$B$130:$H$148,6,0)*10^-3,0)</f>
        <v>0</v>
      </c>
      <c r="G23" s="148"/>
      <c r="H23" s="633"/>
      <c r="I23" s="634"/>
      <c r="J23" s="635"/>
    </row>
    <row r="24" spans="1:10" ht="12.5">
      <c r="A24" s="339" t="s">
        <v>3430</v>
      </c>
      <c r="B24" s="124"/>
      <c r="C24" s="165"/>
      <c r="D24" s="164"/>
      <c r="E24" s="132">
        <f>IFERROR(D24*VLOOKUP(C24,'BDD FE'!$B$130:$H$148,6,0)*10^-3,0)</f>
        <v>0</v>
      </c>
      <c r="G24" s="148"/>
      <c r="H24" s="633"/>
      <c r="I24" s="634"/>
      <c r="J24" s="635"/>
    </row>
    <row r="25" spans="1:10" ht="12.5">
      <c r="A25" s="340" t="s">
        <v>3433</v>
      </c>
      <c r="B25" s="124"/>
      <c r="C25" s="165"/>
      <c r="D25" s="164"/>
      <c r="E25" s="132">
        <f>IFERROR(D25*VLOOKUP(C25,'BDD FE'!$B$130:$H$148,6,0)*10^-3,0)</f>
        <v>0</v>
      </c>
      <c r="G25" s="148"/>
      <c r="H25" s="633"/>
      <c r="I25" s="634"/>
      <c r="J25" s="635"/>
    </row>
    <row r="26" spans="1:10" ht="12.5">
      <c r="A26" s="340" t="s">
        <v>3428</v>
      </c>
      <c r="B26" s="124"/>
      <c r="C26" s="165"/>
      <c r="D26" s="164"/>
      <c r="E26" s="132">
        <f>IFERROR(D26*VLOOKUP(C26,'BDD FE'!$B$130:$H$148,6,0)*10^-3,0)</f>
        <v>0</v>
      </c>
      <c r="G26" s="148"/>
      <c r="H26" s="633"/>
      <c r="I26" s="634"/>
      <c r="J26" s="635"/>
    </row>
    <row r="27" spans="1:10" ht="12.5">
      <c r="A27" s="340" t="s">
        <v>11</v>
      </c>
      <c r="B27" s="124"/>
      <c r="C27" s="165"/>
      <c r="D27" s="164"/>
      <c r="E27" s="132">
        <f>IFERROR(D27*VLOOKUP(C27,'BDD FE'!$B$130:$H$148,6,0)*10^-3,0)</f>
        <v>0</v>
      </c>
      <c r="G27" s="148"/>
      <c r="H27" s="633"/>
      <c r="I27" s="634"/>
      <c r="J27" s="635"/>
    </row>
    <row r="28" spans="1:10" ht="12.5">
      <c r="A28" s="340" t="s">
        <v>13</v>
      </c>
      <c r="B28" s="124"/>
      <c r="C28" s="165"/>
      <c r="D28" s="164"/>
      <c r="E28" s="132">
        <f>IFERROR(D28*VLOOKUP(C28,'BDD FE'!$B$130:$H$148,6,0)*10^-3,0)</f>
        <v>0</v>
      </c>
      <c r="G28" s="148"/>
      <c r="H28" s="633"/>
      <c r="I28" s="634"/>
      <c r="J28" s="635"/>
    </row>
    <row r="29" spans="1:10">
      <c r="B29" s="124"/>
      <c r="C29" s="165"/>
      <c r="D29" s="164"/>
      <c r="E29" s="132">
        <f>IFERROR(D29*VLOOKUP(C29,'BDD FE'!$B$130:$H$148,6,0)*10^-3,0)</f>
        <v>0</v>
      </c>
      <c r="G29" s="148"/>
      <c r="H29" s="639"/>
      <c r="I29" s="640"/>
      <c r="J29" s="641"/>
    </row>
    <row r="30" spans="1:10">
      <c r="B30" s="124"/>
      <c r="C30" s="165"/>
      <c r="D30" s="164"/>
      <c r="E30" s="132">
        <f>IFERROR(D30*VLOOKUP(C30,'BDD FE'!$B$130:$H$148,6,0)*10^-3,0)</f>
        <v>0</v>
      </c>
      <c r="G30" s="148"/>
      <c r="H30" s="613" t="s">
        <v>3459</v>
      </c>
      <c r="I30" s="614"/>
      <c r="J30" s="615"/>
    </row>
    <row r="31" spans="1:10">
      <c r="B31" s="124"/>
      <c r="C31" s="165"/>
      <c r="D31" s="164"/>
      <c r="E31" s="132">
        <f>IFERROR(D31*VLOOKUP(C31,'BDD FE'!$B$130:$H$148,6,0)*10^-3,0)</f>
        <v>0</v>
      </c>
      <c r="G31" s="148"/>
      <c r="H31" s="633"/>
      <c r="I31" s="634"/>
      <c r="J31" s="635"/>
    </row>
    <row r="32" spans="1:10">
      <c r="B32" s="124"/>
      <c r="C32" s="165"/>
      <c r="D32" s="164"/>
      <c r="E32" s="132">
        <f>IFERROR(D32*VLOOKUP(C32,'BDD FE'!$B$130:$H$148,6,0)*10^-3,0)</f>
        <v>0</v>
      </c>
      <c r="G32" s="148"/>
      <c r="H32" s="633"/>
      <c r="I32" s="634"/>
      <c r="J32" s="635"/>
    </row>
    <row r="33" spans="2:10">
      <c r="B33" s="124"/>
      <c r="C33" s="165"/>
      <c r="D33" s="164"/>
      <c r="E33" s="132">
        <f>IFERROR(D33*VLOOKUP(C33,'BDD FE'!$B$130:$H$148,6,0)*10^-3,0)</f>
        <v>0</v>
      </c>
      <c r="G33" s="148"/>
      <c r="H33" s="633"/>
      <c r="I33" s="634"/>
      <c r="J33" s="635"/>
    </row>
    <row r="34" spans="2:10">
      <c r="B34" s="124"/>
      <c r="C34" s="165"/>
      <c r="D34" s="164"/>
      <c r="E34" s="132">
        <f>IFERROR(D34*VLOOKUP(C34,'BDD FE'!$B$130:$H$148,6,0)*10^-3,0)</f>
        <v>0</v>
      </c>
      <c r="G34" s="148"/>
      <c r="H34" s="633"/>
      <c r="I34" s="634"/>
      <c r="J34" s="635"/>
    </row>
    <row r="35" spans="2:10">
      <c r="B35" s="124"/>
      <c r="C35" s="165"/>
      <c r="D35" s="164"/>
      <c r="E35" s="132">
        <f>IFERROR(D35*VLOOKUP(C35,'BDD FE'!$B$130:$H$148,6,0)*10^-3,0)</f>
        <v>0</v>
      </c>
      <c r="G35" s="148"/>
      <c r="H35" s="633"/>
      <c r="I35" s="634"/>
      <c r="J35" s="635"/>
    </row>
    <row r="36" spans="2:10">
      <c r="B36" s="124"/>
      <c r="C36" s="165"/>
      <c r="D36" s="164"/>
      <c r="E36" s="132">
        <f>IFERROR(D36*VLOOKUP(C36,'BDD FE'!$B$130:$H$148,6,0)*10^-3,0)</f>
        <v>0</v>
      </c>
      <c r="G36" s="148"/>
      <c r="H36" s="633"/>
      <c r="I36" s="634"/>
      <c r="J36" s="635"/>
    </row>
    <row r="37" spans="2:10">
      <c r="B37" s="124"/>
      <c r="C37" s="165"/>
      <c r="D37" s="164"/>
      <c r="E37" s="132">
        <f>IFERROR(D37*VLOOKUP(C37,'BDD FE'!$B$130:$H$148,6,0)*10^-3,0)</f>
        <v>0</v>
      </c>
      <c r="G37" s="148"/>
      <c r="H37" s="633"/>
      <c r="I37" s="634"/>
      <c r="J37" s="635"/>
    </row>
    <row r="38" spans="2:10">
      <c r="B38" s="124"/>
      <c r="C38" s="165"/>
      <c r="D38" s="164"/>
      <c r="E38" s="132">
        <f>IFERROR(D38*VLOOKUP(C38,'BDD FE'!$B$130:$H$148,6,0)*10^-3,0)</f>
        <v>0</v>
      </c>
      <c r="G38" s="148"/>
      <c r="H38" s="633"/>
      <c r="I38" s="634"/>
      <c r="J38" s="635"/>
    </row>
    <row r="39" spans="2:10">
      <c r="B39" s="124"/>
      <c r="C39" s="165"/>
      <c r="D39" s="164"/>
      <c r="E39" s="132">
        <f>IFERROR(D39*VLOOKUP(C39,'BDD FE'!$B$130:$H$148,6,0)*10^-3,0)</f>
        <v>0</v>
      </c>
      <c r="G39" s="148"/>
      <c r="H39" s="633"/>
      <c r="I39" s="634"/>
      <c r="J39" s="635"/>
    </row>
    <row r="40" spans="2:10">
      <c r="B40" s="124"/>
      <c r="C40" s="130"/>
      <c r="D40" s="130"/>
      <c r="E40" s="132">
        <f>SUM(E21:E39)</f>
        <v>0</v>
      </c>
      <c r="G40" s="148"/>
      <c r="H40" s="633"/>
      <c r="I40" s="634"/>
      <c r="J40" s="635"/>
    </row>
    <row r="41" spans="2:10">
      <c r="B41" s="124"/>
      <c r="C41" s="130"/>
      <c r="D41" s="130"/>
      <c r="E41" s="130"/>
      <c r="F41" s="130"/>
      <c r="G41" s="148"/>
      <c r="H41" s="639"/>
      <c r="I41" s="640"/>
      <c r="J41" s="641"/>
    </row>
    <row r="42" spans="2:10">
      <c r="B42" s="124"/>
      <c r="C42" s="130"/>
      <c r="D42" s="130"/>
      <c r="E42" s="130"/>
      <c r="F42" s="130"/>
      <c r="G42" s="148"/>
      <c r="H42" s="145"/>
      <c r="J42" s="149"/>
    </row>
    <row r="43" spans="2:10">
      <c r="B43" s="124"/>
      <c r="C43" s="130"/>
      <c r="D43" s="130"/>
      <c r="E43" s="130"/>
      <c r="F43" s="130"/>
      <c r="G43" s="148"/>
      <c r="H43" s="145"/>
      <c r="J43" s="149"/>
    </row>
    <row r="44" spans="2:10">
      <c r="B44" s="124"/>
      <c r="C44" s="130"/>
      <c r="D44" s="130"/>
      <c r="E44" s="130"/>
      <c r="F44" s="130"/>
      <c r="G44" s="148"/>
      <c r="H44" s="145"/>
      <c r="J44" s="149"/>
    </row>
    <row r="45" spans="2:10">
      <c r="B45" s="124"/>
      <c r="C45" s="130"/>
      <c r="D45" s="130"/>
      <c r="E45" s="130"/>
      <c r="F45" s="130"/>
      <c r="G45" s="148"/>
      <c r="H45" s="145"/>
      <c r="J45" s="149"/>
    </row>
    <row r="46" spans="2:10" ht="15" thickBot="1">
      <c r="B46" s="124"/>
      <c r="C46" s="130"/>
      <c r="D46" s="130"/>
      <c r="E46" s="130"/>
      <c r="F46" s="130"/>
      <c r="G46" s="148"/>
      <c r="H46" s="150"/>
      <c r="I46" s="151"/>
      <c r="J46" s="152"/>
    </row>
    <row r="47" spans="2:10" ht="20">
      <c r="B47" s="571" t="s">
        <v>46</v>
      </c>
      <c r="C47" s="572"/>
      <c r="D47" s="572"/>
      <c r="E47" s="572"/>
      <c r="F47" s="572"/>
      <c r="G47" s="573"/>
    </row>
    <row r="48" spans="2:10">
      <c r="B48" s="124"/>
      <c r="C48" s="130"/>
      <c r="D48" s="130"/>
      <c r="E48" s="130"/>
      <c r="F48" s="130"/>
      <c r="G48" s="148"/>
    </row>
    <row r="49" spans="2:7">
      <c r="B49" s="124"/>
      <c r="C49" s="130"/>
      <c r="D49" s="130"/>
      <c r="E49" s="130"/>
      <c r="F49" s="130"/>
      <c r="G49" s="148"/>
    </row>
    <row r="50" spans="2:7" ht="25">
      <c r="B50" s="124"/>
      <c r="C50" s="397" t="s">
        <v>81</v>
      </c>
      <c r="D50" s="117" t="s">
        <v>90</v>
      </c>
      <c r="E50" s="117" t="s">
        <v>23</v>
      </c>
      <c r="F50" s="472" t="s">
        <v>3908</v>
      </c>
      <c r="G50" s="148"/>
    </row>
    <row r="51" spans="2:7">
      <c r="B51" s="124"/>
      <c r="C51" s="477" t="s">
        <v>3955</v>
      </c>
      <c r="D51" s="480">
        <f>SUMIFS($D$21:$D$39,$C$21:$C$39,C51)</f>
        <v>0</v>
      </c>
      <c r="E51" s="479">
        <f>SUMIFS($E$21:$E$39,$C$21:$C$39,C51)</f>
        <v>0</v>
      </c>
      <c r="F51" s="478" t="s">
        <v>94</v>
      </c>
      <c r="G51" s="148"/>
    </row>
    <row r="52" spans="2:7">
      <c r="B52" s="124"/>
      <c r="C52" s="477" t="s">
        <v>3649</v>
      </c>
      <c r="D52" s="480">
        <f t="shared" ref="D52:D69" si="0">SUMIFS($D$21:$D$39,$C$21:$C$39,C52)</f>
        <v>0</v>
      </c>
      <c r="E52" s="479">
        <f t="shared" ref="E52:E69" si="1">SUMIFS($E$21:$E$39,$C$21:$C$39,C52)</f>
        <v>0</v>
      </c>
      <c r="F52" s="478" t="s">
        <v>94</v>
      </c>
      <c r="G52" s="148"/>
    </row>
    <row r="53" spans="2:7">
      <c r="B53" s="124"/>
      <c r="C53" s="477" t="s">
        <v>3650</v>
      </c>
      <c r="D53" s="480">
        <f t="shared" si="0"/>
        <v>0</v>
      </c>
      <c r="E53" s="479">
        <f t="shared" si="1"/>
        <v>0</v>
      </c>
      <c r="F53" s="477" t="s">
        <v>95</v>
      </c>
      <c r="G53" s="148"/>
    </row>
    <row r="54" spans="2:7">
      <c r="B54" s="124"/>
      <c r="C54" s="477" t="s">
        <v>3651</v>
      </c>
      <c r="D54" s="480">
        <f t="shared" si="0"/>
        <v>0</v>
      </c>
      <c r="E54" s="479">
        <f t="shared" si="1"/>
        <v>0</v>
      </c>
      <c r="F54" s="477" t="s">
        <v>95</v>
      </c>
      <c r="G54" s="148"/>
    </row>
    <row r="55" spans="2:7">
      <c r="B55" s="124"/>
      <c r="C55" s="477" t="s">
        <v>3652</v>
      </c>
      <c r="D55" s="480">
        <f t="shared" si="0"/>
        <v>0</v>
      </c>
      <c r="E55" s="479">
        <f t="shared" si="1"/>
        <v>0</v>
      </c>
      <c r="F55" s="478" t="s">
        <v>93</v>
      </c>
      <c r="G55" s="148"/>
    </row>
    <row r="56" spans="2:7">
      <c r="B56" s="124"/>
      <c r="C56" s="477" t="s">
        <v>3654</v>
      </c>
      <c r="D56" s="480">
        <f t="shared" si="0"/>
        <v>0</v>
      </c>
      <c r="E56" s="479">
        <f t="shared" si="1"/>
        <v>0</v>
      </c>
      <c r="F56" s="478" t="s">
        <v>93</v>
      </c>
      <c r="G56" s="148"/>
    </row>
    <row r="57" spans="2:7">
      <c r="B57" s="124"/>
      <c r="C57" s="477" t="s">
        <v>3656</v>
      </c>
      <c r="D57" s="480">
        <f t="shared" si="0"/>
        <v>0</v>
      </c>
      <c r="E57" s="479">
        <f t="shared" si="1"/>
        <v>0</v>
      </c>
      <c r="F57" s="477" t="s">
        <v>73</v>
      </c>
      <c r="G57" s="148"/>
    </row>
    <row r="58" spans="2:7">
      <c r="B58" s="124"/>
      <c r="C58" s="477" t="s">
        <v>3658</v>
      </c>
      <c r="D58" s="480">
        <f t="shared" si="0"/>
        <v>0</v>
      </c>
      <c r="E58" s="479">
        <f t="shared" si="1"/>
        <v>0</v>
      </c>
      <c r="F58" s="477" t="s">
        <v>73</v>
      </c>
      <c r="G58" s="148"/>
    </row>
    <row r="59" spans="2:7">
      <c r="B59" s="124"/>
      <c r="C59" s="477" t="s">
        <v>3659</v>
      </c>
      <c r="D59" s="480">
        <f t="shared" si="0"/>
        <v>0</v>
      </c>
      <c r="E59" s="479">
        <f t="shared" si="1"/>
        <v>0</v>
      </c>
      <c r="F59" s="477" t="s">
        <v>73</v>
      </c>
      <c r="G59" s="148"/>
    </row>
    <row r="60" spans="2:7">
      <c r="B60" s="124"/>
      <c r="C60" s="477" t="s">
        <v>3660</v>
      </c>
      <c r="D60" s="480">
        <f t="shared" si="0"/>
        <v>0</v>
      </c>
      <c r="E60" s="479">
        <f t="shared" si="1"/>
        <v>0</v>
      </c>
      <c r="F60" s="477" t="s">
        <v>73</v>
      </c>
      <c r="G60" s="148"/>
    </row>
    <row r="61" spans="2:7">
      <c r="B61" s="124"/>
      <c r="C61" s="477" t="s">
        <v>3661</v>
      </c>
      <c r="D61" s="480">
        <f t="shared" si="0"/>
        <v>0</v>
      </c>
      <c r="E61" s="479">
        <f t="shared" si="1"/>
        <v>0</v>
      </c>
      <c r="F61" s="478" t="s">
        <v>93</v>
      </c>
      <c r="G61" s="125"/>
    </row>
    <row r="62" spans="2:7">
      <c r="B62" s="124"/>
      <c r="C62" s="477" t="s">
        <v>3663</v>
      </c>
      <c r="D62" s="480">
        <f t="shared" si="0"/>
        <v>0</v>
      </c>
      <c r="E62" s="479">
        <f t="shared" si="1"/>
        <v>0</v>
      </c>
      <c r="F62" s="477" t="s">
        <v>3913</v>
      </c>
      <c r="G62" s="125"/>
    </row>
    <row r="63" spans="2:7">
      <c r="B63" s="124"/>
      <c r="C63" s="477" t="s">
        <v>3975</v>
      </c>
      <c r="D63" s="480">
        <f t="shared" si="0"/>
        <v>0</v>
      </c>
      <c r="E63" s="479">
        <f t="shared" si="1"/>
        <v>0</v>
      </c>
      <c r="F63" s="477" t="s">
        <v>93</v>
      </c>
      <c r="G63" s="125"/>
    </row>
    <row r="64" spans="2:7">
      <c r="B64" s="124"/>
      <c r="C64" s="477" t="s">
        <v>91</v>
      </c>
      <c r="D64" s="480">
        <f t="shared" si="0"/>
        <v>0</v>
      </c>
      <c r="E64" s="479">
        <f t="shared" si="1"/>
        <v>0</v>
      </c>
      <c r="F64" s="478" t="s">
        <v>93</v>
      </c>
      <c r="G64" s="125"/>
    </row>
    <row r="65" spans="2:7">
      <c r="B65" s="124"/>
      <c r="C65" s="477" t="s">
        <v>3949</v>
      </c>
      <c r="D65" s="480">
        <f t="shared" si="0"/>
        <v>0</v>
      </c>
      <c r="E65" s="479">
        <f t="shared" si="1"/>
        <v>0</v>
      </c>
      <c r="F65" s="478" t="s">
        <v>93</v>
      </c>
      <c r="G65" s="125"/>
    </row>
    <row r="66" spans="2:7">
      <c r="B66" s="124"/>
      <c r="C66" s="477" t="s">
        <v>3665</v>
      </c>
      <c r="D66" s="480">
        <f t="shared" si="0"/>
        <v>0</v>
      </c>
      <c r="E66" s="479">
        <f t="shared" si="1"/>
        <v>0</v>
      </c>
      <c r="F66" s="477" t="s">
        <v>73</v>
      </c>
      <c r="G66" s="125"/>
    </row>
    <row r="67" spans="2:7">
      <c r="B67" s="124"/>
      <c r="C67" s="477" t="s">
        <v>3667</v>
      </c>
      <c r="D67" s="480">
        <f t="shared" si="0"/>
        <v>0</v>
      </c>
      <c r="E67" s="479">
        <f t="shared" si="1"/>
        <v>0</v>
      </c>
      <c r="F67" s="477" t="s">
        <v>73</v>
      </c>
      <c r="G67" s="126"/>
    </row>
    <row r="68" spans="2:7">
      <c r="B68" s="127"/>
      <c r="C68" s="477" t="s">
        <v>3669</v>
      </c>
      <c r="D68" s="480">
        <f t="shared" si="0"/>
        <v>0</v>
      </c>
      <c r="E68" s="479">
        <f t="shared" si="1"/>
        <v>0</v>
      </c>
      <c r="F68" s="477" t="s">
        <v>73</v>
      </c>
      <c r="G68" s="126"/>
    </row>
    <row r="69" spans="2:7">
      <c r="B69" s="127"/>
      <c r="C69" s="477" t="s">
        <v>3670</v>
      </c>
      <c r="D69" s="480">
        <f t="shared" si="0"/>
        <v>0</v>
      </c>
      <c r="E69" s="479">
        <f t="shared" si="1"/>
        <v>0</v>
      </c>
      <c r="F69" s="477" t="s">
        <v>73</v>
      </c>
      <c r="G69" s="126"/>
    </row>
    <row r="70" spans="2:7">
      <c r="B70" s="127"/>
      <c r="G70" s="126"/>
    </row>
    <row r="71" spans="2:7">
      <c r="B71" s="127"/>
      <c r="G71" s="126"/>
    </row>
    <row r="72" spans="2:7" ht="25">
      <c r="B72" s="127"/>
      <c r="C72" s="472" t="s">
        <v>3908</v>
      </c>
      <c r="D72" s="117" t="s">
        <v>90</v>
      </c>
      <c r="E72" s="117" t="s">
        <v>23</v>
      </c>
      <c r="G72" s="126"/>
    </row>
    <row r="73" spans="2:7">
      <c r="B73" s="127"/>
      <c r="C73" s="477" t="s">
        <v>95</v>
      </c>
      <c r="D73" s="153">
        <f>SUMIFS($D$51:$D$69,$F$51:$F$69,C73)</f>
        <v>0</v>
      </c>
      <c r="E73" s="171">
        <f>SUMIFS($E$51:$E$69,$F$51:$F$69,C73)</f>
        <v>0</v>
      </c>
      <c r="G73" s="126"/>
    </row>
    <row r="74" spans="2:7">
      <c r="B74" s="127"/>
      <c r="C74" s="477" t="s">
        <v>94</v>
      </c>
      <c r="D74" s="153">
        <f>SUMIFS($D$51:$D$69,$F$51:$F$69,C74)</f>
        <v>0</v>
      </c>
      <c r="E74" s="171">
        <f>SUMIFS($E$51:$E$69,$F$51:$F$69,C74)</f>
        <v>0</v>
      </c>
      <c r="G74" s="126"/>
    </row>
    <row r="75" spans="2:7">
      <c r="B75" s="127"/>
      <c r="C75" s="477" t="s">
        <v>3913</v>
      </c>
      <c r="D75" s="153">
        <f>SUMIFS($D$51:$D$69,$F$51:$F$69,C75)</f>
        <v>0</v>
      </c>
      <c r="E75" s="171">
        <f>SUMIFS($E$51:$E$69,$F$51:$F$69,C75)</f>
        <v>0</v>
      </c>
      <c r="G75" s="126"/>
    </row>
    <row r="76" spans="2:7">
      <c r="B76" s="127"/>
      <c r="C76" s="477" t="s">
        <v>93</v>
      </c>
      <c r="D76" s="153">
        <f>SUMIFS($D$51:$D$69,$F$51:$F$69,C76)</f>
        <v>0</v>
      </c>
      <c r="E76" s="171">
        <f>SUMIFS($E$51:$E$69,$F$51:$F$69,C76)</f>
        <v>0</v>
      </c>
      <c r="G76" s="126"/>
    </row>
    <row r="77" spans="2:7">
      <c r="B77" s="127"/>
      <c r="C77" s="477" t="s">
        <v>73</v>
      </c>
      <c r="D77" s="153">
        <f>SUMIFS($D$51:$D$69,$F$51:$F$69,C77)</f>
        <v>0</v>
      </c>
      <c r="E77" s="171">
        <f>SUMIFS($E$51:$E$69,$F$51:$F$69,C77)</f>
        <v>0</v>
      </c>
      <c r="G77" s="126"/>
    </row>
    <row r="78" spans="2:7">
      <c r="B78" s="127"/>
      <c r="G78" s="126"/>
    </row>
    <row r="79" spans="2:7">
      <c r="B79" s="127"/>
      <c r="G79" s="126"/>
    </row>
    <row r="80" spans="2:7">
      <c r="B80" s="127"/>
      <c r="G80" s="126"/>
    </row>
    <row r="81" spans="2:7">
      <c r="B81" s="127"/>
      <c r="G81" s="126"/>
    </row>
    <row r="82" spans="2:7">
      <c r="B82" s="127"/>
      <c r="G82" s="126"/>
    </row>
    <row r="83" spans="2:7">
      <c r="B83" s="127"/>
      <c r="G83" s="126"/>
    </row>
    <row r="84" spans="2:7">
      <c r="B84" s="127"/>
      <c r="G84" s="126"/>
    </row>
    <row r="85" spans="2:7">
      <c r="B85" s="127"/>
      <c r="G85" s="126"/>
    </row>
    <row r="86" spans="2:7">
      <c r="B86" s="127"/>
      <c r="G86" s="126"/>
    </row>
    <row r="87" spans="2:7">
      <c r="B87" s="127"/>
      <c r="G87" s="126"/>
    </row>
    <row r="88" spans="2:7">
      <c r="B88" s="127"/>
      <c r="G88" s="126"/>
    </row>
    <row r="89" spans="2:7">
      <c r="B89" s="127"/>
      <c r="G89" s="126"/>
    </row>
    <row r="90" spans="2:7">
      <c r="B90" s="127"/>
      <c r="G90" s="126"/>
    </row>
    <row r="91" spans="2:7">
      <c r="B91" s="127"/>
      <c r="G91" s="126"/>
    </row>
    <row r="92" spans="2:7">
      <c r="B92" s="127"/>
      <c r="G92" s="126"/>
    </row>
    <row r="93" spans="2:7">
      <c r="B93" s="127"/>
      <c r="G93" s="126"/>
    </row>
    <row r="94" spans="2:7">
      <c r="B94" s="127"/>
      <c r="G94" s="126"/>
    </row>
    <row r="95" spans="2:7">
      <c r="B95" s="127"/>
      <c r="G95" s="126"/>
    </row>
    <row r="96" spans="2:7">
      <c r="B96" s="127"/>
      <c r="G96" s="126"/>
    </row>
    <row r="97" spans="2:7">
      <c r="B97" s="127"/>
      <c r="G97" s="126"/>
    </row>
    <row r="98" spans="2:7">
      <c r="B98" s="127"/>
      <c r="G98" s="126"/>
    </row>
    <row r="99" spans="2:7">
      <c r="B99" s="127"/>
      <c r="G99" s="126"/>
    </row>
    <row r="100" spans="2:7">
      <c r="B100" s="127"/>
      <c r="G100" s="126"/>
    </row>
    <row r="101" spans="2:7">
      <c r="B101" s="127"/>
      <c r="G101" s="126"/>
    </row>
    <row r="102" spans="2:7">
      <c r="B102" s="127"/>
      <c r="G102" s="126"/>
    </row>
    <row r="103" spans="2:7">
      <c r="B103" s="127"/>
      <c r="G103" s="126"/>
    </row>
    <row r="104" spans="2:7">
      <c r="B104" s="127"/>
      <c r="G104" s="126"/>
    </row>
    <row r="105" spans="2:7">
      <c r="B105" s="127"/>
      <c r="G105" s="126"/>
    </row>
    <row r="106" spans="2:7">
      <c r="B106" s="127"/>
      <c r="G106" s="126"/>
    </row>
    <row r="107" spans="2:7">
      <c r="B107" s="127"/>
      <c r="G107" s="126"/>
    </row>
    <row r="108" spans="2:7">
      <c r="B108" s="127"/>
      <c r="G108" s="126"/>
    </row>
    <row r="109" spans="2:7">
      <c r="B109" s="127"/>
      <c r="G109" s="126"/>
    </row>
    <row r="110" spans="2:7">
      <c r="B110" s="127"/>
      <c r="G110" s="126"/>
    </row>
    <row r="111" spans="2:7" ht="15" thickBot="1">
      <c r="B111" s="142"/>
      <c r="C111" s="143"/>
      <c r="D111" s="143"/>
      <c r="E111" s="143"/>
      <c r="F111" s="143"/>
      <c r="G111" s="144"/>
    </row>
    <row r="112" spans="2:7"/>
    <row r="113"/>
    <row r="114"/>
    <row r="115"/>
    <row r="116"/>
  </sheetData>
  <protectedRanges>
    <protectedRange sqref="H3 H11:H14 H31:H38" name="Plage1_1"/>
    <protectedRange sqref="C21:D39" name="Plage1_2"/>
  </protectedRanges>
  <mergeCells count="10">
    <mergeCell ref="A1:A2"/>
    <mergeCell ref="B1:G1"/>
    <mergeCell ref="B47:G47"/>
    <mergeCell ref="H1:J1"/>
    <mergeCell ref="C4:F18"/>
    <mergeCell ref="H2:J2"/>
    <mergeCell ref="H3:J9"/>
    <mergeCell ref="H11:J29"/>
    <mergeCell ref="H30:J30"/>
    <mergeCell ref="H31:J41"/>
  </mergeCells>
  <hyperlinks>
    <hyperlink ref="A9" location="'1_Votre Structure'!A1" display="Votre structure" xr:uid="{282E33FD-FAA5-468F-9A31-EFE37FE98C90}"/>
    <hyperlink ref="A10" location="'2_ConsoEnergieEau'!A1" display="Consommation d'énergie et d'eau" xr:uid="{45D62FF2-388C-467A-B80C-67FFBCF9EC4A}"/>
    <hyperlink ref="A11" location="'3_Climatisation'!A1" display="Climatisation" xr:uid="{C20B4851-5360-4851-8A28-BA81B23FFBB6}"/>
    <hyperlink ref="A15" location="'7_DéplacementsProfessionnels'!A1" display="Déplacements professionnels" xr:uid="{2E708A6A-5CF9-44B7-9CF3-3D5DEEB3F365}"/>
    <hyperlink ref="A16" location="'8_DéplacementsSalariés'!A1" display="Déplacements des salariés" xr:uid="{472C1534-8090-4E75-9D22-E38A6BDC4AE3}"/>
    <hyperlink ref="A20" location="'12_Equipements'!A1" display="Equipements" xr:uid="{C9A94DC5-7896-4886-B993-ED7ACE2A770B}"/>
    <hyperlink ref="A13" location="'5_Déchets'!A1" display="Déchets" xr:uid="{540369DB-5087-40BC-B52B-1E6469D3A6EC}"/>
    <hyperlink ref="A25" location="'17_TransportMatériel'!A1" display="Transport de matériel et d'œuvres" xr:uid="{43BBA92C-9752-4BA2-95FF-CFD7B81FAE61}"/>
    <hyperlink ref="A26" location="'18_ImpressionsComPapier'!A1" display="Impression et communication papier" xr:uid="{9A205274-2FC9-4BDD-90C6-F22D629572A8}"/>
    <hyperlink ref="A27" location="'19_ComDigitale'!A1" display="Communication digitale" xr:uid="{91F00E87-79AF-499E-BB86-A368F55425D5}"/>
    <hyperlink ref="A28" location="'20_Billetterie'!A1" display="Billetterie" xr:uid="{077B6BB5-EFA4-4D86-A799-A84C015BED77}"/>
    <hyperlink ref="A23" location="'15_Alimentation'!A1" display="Alimentation" xr:uid="{AD4B0ADD-AC30-41D5-9816-6E979D66CA80}"/>
    <hyperlink ref="A17" location="'9_DéplacementsVisiteurs'!A1" display="Déplacements des visiteurs" xr:uid="{29011C15-EE04-4569-8B9C-498D6FF20F7B}"/>
    <hyperlink ref="A18" location="'10_Tournées artistiques'!A1" display="Tournées artistiques" xr:uid="{F3435844-3AF2-4C21-A5DF-0C9687C816F6}"/>
    <hyperlink ref="A19" location="'11_Artistes invité.e.s'!A1" display="Artistes invité.e.s" xr:uid="{D88E56B3-DC16-49BF-B9F1-E12E5E05DE84}"/>
    <hyperlink ref="A12" location="'4_Bâtiments,travaux, agcmt'!A1" display="Bâtiments, travaux et agencements" xr:uid="{51FE6341-65B0-4ABE-B519-76B26C8032FF}"/>
    <hyperlink ref="A21" location="'13_Achats - Documents papiers'!A1" display="Achats - Documents papiers" xr:uid="{044F7A1E-BA12-4625-8FDC-A33F2CBA8C04}"/>
    <hyperlink ref="A24" location="'16_Autres achats (€)'!A1" display="Autres achats" xr:uid="{3E23D510-95F5-4799-A854-10C6B3D8B7EC}"/>
    <hyperlink ref="A22" location="'14_Décors'!A1" display="Décors" xr:uid="{7E21E5E2-FD6F-4187-B68C-A4A5D5CED1AC}"/>
    <hyperlink ref="A14" location="'6_DéplacementsPrestations'!A1" display="Déplacements de prestations" xr:uid="{2FB21D0B-ECE0-43AF-9DC1-2B7B9FD07AB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'BDD FE'!$B$130:$B$148</xm:f>
          </x14:formula1>
          <xm:sqref>C21:C39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7">
    <tabColor theme="6" tint="0.79998168889431442"/>
  </sheetPr>
  <dimension ref="A1:S103"/>
  <sheetViews>
    <sheetView showGridLines="0" topLeftCell="C28" zoomScale="85" zoomScaleNormal="85" workbookViewId="0">
      <selection activeCell="C4" sqref="C4:K11"/>
    </sheetView>
  </sheetViews>
  <sheetFormatPr baseColWidth="10" defaultColWidth="0" defaultRowHeight="14.5" zeroHeight="1"/>
  <cols>
    <col min="1" max="1" width="25.81640625" bestFit="1" customWidth="1"/>
    <col min="2" max="8" width="17.81640625" style="111" customWidth="1"/>
    <col min="9" max="10" width="23.08984375" style="111" customWidth="1"/>
    <col min="11" max="12" width="17.81640625" style="111" customWidth="1"/>
    <col min="13" max="15" width="11.1796875"/>
    <col min="16" max="16" width="11.453125" style="112"/>
    <col min="17" max="17" width="11.6328125" style="111" hidden="1" customWidth="1"/>
    <col min="18" max="18" width="8.81640625" style="111" hidden="1" customWidth="1"/>
    <col min="19" max="19" width="3.81640625" style="111" hidden="1" customWidth="1"/>
    <col min="20" max="16384" width="0" style="111" hidden="1"/>
  </cols>
  <sheetData>
    <row r="1" spans="1:17" ht="21.25" customHeight="1" thickBot="1">
      <c r="A1" s="647" t="s">
        <v>3359</v>
      </c>
      <c r="B1" s="649" t="s">
        <v>3907</v>
      </c>
      <c r="C1" s="572"/>
      <c r="D1" s="572"/>
      <c r="E1" s="572"/>
      <c r="F1" s="572"/>
      <c r="G1" s="572"/>
      <c r="H1" s="572"/>
      <c r="I1" s="572"/>
      <c r="J1" s="572"/>
      <c r="K1" s="572"/>
      <c r="L1" s="573"/>
      <c r="M1" s="656" t="s">
        <v>3391</v>
      </c>
      <c r="N1" s="657"/>
      <c r="O1" s="658"/>
      <c r="Q1" s="235"/>
    </row>
    <row r="2" spans="1:17" ht="18" thickBot="1">
      <c r="A2" s="648"/>
      <c r="B2" s="124"/>
      <c r="G2" s="504">
        <f>SUM(K43+K71+J92)</f>
        <v>0</v>
      </c>
      <c r="L2" s="125"/>
      <c r="M2" s="613" t="s">
        <v>3457</v>
      </c>
      <c r="N2" s="614"/>
      <c r="O2" s="615"/>
    </row>
    <row r="3" spans="1:17">
      <c r="A3" s="338"/>
      <c r="B3" s="124"/>
      <c r="L3" s="125"/>
      <c r="M3" s="633"/>
      <c r="N3" s="634"/>
      <c r="O3" s="635"/>
    </row>
    <row r="4" spans="1:17" ht="14.4" customHeight="1">
      <c r="A4" s="338"/>
      <c r="B4" s="124"/>
      <c r="C4" s="671" t="s">
        <v>4061</v>
      </c>
      <c r="D4" s="671"/>
      <c r="E4" s="671"/>
      <c r="F4" s="671"/>
      <c r="G4" s="671"/>
      <c r="H4" s="671"/>
      <c r="I4" s="671"/>
      <c r="J4" s="671"/>
      <c r="K4" s="671"/>
      <c r="L4" s="125"/>
      <c r="M4" s="633"/>
      <c r="N4" s="634"/>
      <c r="O4" s="635"/>
    </row>
    <row r="5" spans="1:17" ht="14.4" customHeight="1">
      <c r="A5" s="338"/>
      <c r="B5" s="124"/>
      <c r="C5" s="671"/>
      <c r="D5" s="671"/>
      <c r="E5" s="671"/>
      <c r="F5" s="671"/>
      <c r="G5" s="671"/>
      <c r="H5" s="671"/>
      <c r="I5" s="671"/>
      <c r="J5" s="671"/>
      <c r="K5" s="671"/>
      <c r="L5" s="125"/>
      <c r="M5" s="633"/>
      <c r="N5" s="634"/>
      <c r="O5" s="635"/>
    </row>
    <row r="6" spans="1:17" ht="21.65" customHeight="1">
      <c r="A6" s="341" t="s">
        <v>3357</v>
      </c>
      <c r="B6" s="124"/>
      <c r="C6" s="671"/>
      <c r="D6" s="671"/>
      <c r="E6" s="671"/>
      <c r="F6" s="671"/>
      <c r="G6" s="671"/>
      <c r="H6" s="671"/>
      <c r="I6" s="671"/>
      <c r="J6" s="671"/>
      <c r="K6" s="671"/>
      <c r="L6" s="125"/>
      <c r="M6" s="639"/>
      <c r="N6" s="640"/>
      <c r="O6" s="641"/>
    </row>
    <row r="7" spans="1:17" ht="21.65" customHeight="1">
      <c r="A7" s="339" t="s">
        <v>3434</v>
      </c>
      <c r="B7" s="124"/>
      <c r="C7" s="671"/>
      <c r="D7" s="671"/>
      <c r="E7" s="671"/>
      <c r="F7" s="671"/>
      <c r="G7" s="671"/>
      <c r="H7" s="671"/>
      <c r="I7" s="671"/>
      <c r="J7" s="671"/>
      <c r="K7" s="671"/>
      <c r="L7" s="125"/>
      <c r="M7" s="246" t="s">
        <v>3458</v>
      </c>
      <c r="N7" s="343"/>
      <c r="O7" s="344"/>
    </row>
    <row r="8" spans="1:17" ht="21.65" customHeight="1">
      <c r="A8" s="339" t="s">
        <v>7</v>
      </c>
      <c r="B8" s="124"/>
      <c r="C8" s="671"/>
      <c r="D8" s="671"/>
      <c r="E8" s="671"/>
      <c r="F8" s="671"/>
      <c r="G8" s="671"/>
      <c r="H8" s="671"/>
      <c r="I8" s="671"/>
      <c r="J8" s="671"/>
      <c r="K8" s="671"/>
      <c r="L8" s="125"/>
      <c r="M8" s="633"/>
      <c r="N8" s="634"/>
      <c r="O8" s="635"/>
    </row>
    <row r="9" spans="1:17" ht="21.65" customHeight="1">
      <c r="A9" s="339" t="s">
        <v>3427</v>
      </c>
      <c r="B9" s="124"/>
      <c r="C9" s="671"/>
      <c r="D9" s="671"/>
      <c r="E9" s="671"/>
      <c r="F9" s="671"/>
      <c r="G9" s="671"/>
      <c r="H9" s="671"/>
      <c r="I9" s="671"/>
      <c r="J9" s="671"/>
      <c r="K9" s="671"/>
      <c r="L9" s="125"/>
      <c r="M9" s="633"/>
      <c r="N9" s="634"/>
      <c r="O9" s="635"/>
    </row>
    <row r="10" spans="1:17" ht="21.65" customHeight="1">
      <c r="A10" s="340" t="s">
        <v>10</v>
      </c>
      <c r="B10" s="124"/>
      <c r="C10" s="671"/>
      <c r="D10" s="671"/>
      <c r="E10" s="671"/>
      <c r="F10" s="671"/>
      <c r="G10" s="671"/>
      <c r="H10" s="671"/>
      <c r="I10" s="671"/>
      <c r="J10" s="671"/>
      <c r="K10" s="671"/>
      <c r="L10" s="125"/>
      <c r="M10" s="633"/>
      <c r="N10" s="634"/>
      <c r="O10" s="635"/>
    </row>
    <row r="11" spans="1:17" ht="21.65" customHeight="1">
      <c r="A11" s="340" t="s">
        <v>3645</v>
      </c>
      <c r="B11" s="124"/>
      <c r="C11" s="671"/>
      <c r="D11" s="671"/>
      <c r="E11" s="671"/>
      <c r="F11" s="671"/>
      <c r="G11" s="671"/>
      <c r="H11" s="671"/>
      <c r="I11" s="671"/>
      <c r="J11" s="671"/>
      <c r="K11" s="671"/>
      <c r="L11" s="125"/>
      <c r="M11" s="633"/>
      <c r="N11" s="634"/>
      <c r="O11" s="635"/>
    </row>
    <row r="12" spans="1:17" ht="12.9" customHeight="1">
      <c r="A12" s="339" t="s">
        <v>3431</v>
      </c>
      <c r="B12" s="124"/>
      <c r="L12" s="125"/>
      <c r="M12" s="633"/>
      <c r="N12" s="634"/>
      <c r="O12" s="635"/>
    </row>
    <row r="13" spans="1:17" ht="12.9" customHeight="1">
      <c r="A13" s="340" t="s">
        <v>5</v>
      </c>
      <c r="B13" s="124"/>
      <c r="C13" s="642" t="s">
        <v>5</v>
      </c>
      <c r="D13" s="643"/>
      <c r="E13" s="643"/>
      <c r="F13" s="643"/>
      <c r="G13" s="643"/>
      <c r="H13" s="643"/>
      <c r="I13" s="643"/>
      <c r="J13" s="643"/>
      <c r="K13" s="643"/>
      <c r="L13" s="125"/>
      <c r="M13" s="633"/>
      <c r="N13" s="634"/>
      <c r="O13" s="635"/>
    </row>
    <row r="14" spans="1:17" ht="33" customHeight="1">
      <c r="A14" s="339" t="s">
        <v>6</v>
      </c>
      <c r="B14" s="485"/>
      <c r="C14" s="672" t="s">
        <v>4060</v>
      </c>
      <c r="D14" s="672"/>
      <c r="E14" s="672"/>
      <c r="F14" s="672"/>
      <c r="G14" s="672"/>
      <c r="H14" s="672"/>
      <c r="I14" s="672"/>
      <c r="J14" s="672"/>
      <c r="K14" s="672"/>
      <c r="L14" s="486"/>
      <c r="M14" s="633"/>
      <c r="N14" s="634"/>
      <c r="O14" s="635"/>
    </row>
    <row r="15" spans="1:17" ht="12.5">
      <c r="A15" s="340" t="s">
        <v>12</v>
      </c>
      <c r="B15" s="485"/>
      <c r="C15" s="672"/>
      <c r="D15" s="672"/>
      <c r="E15" s="672"/>
      <c r="F15" s="672"/>
      <c r="G15" s="672"/>
      <c r="H15" s="672"/>
      <c r="I15" s="672"/>
      <c r="J15" s="672"/>
      <c r="K15" s="672"/>
      <c r="L15" s="486"/>
      <c r="M15" s="633"/>
      <c r="N15" s="634"/>
      <c r="O15" s="635"/>
    </row>
    <row r="16" spans="1:17" ht="12.5">
      <c r="A16" s="340" t="s">
        <v>14</v>
      </c>
      <c r="B16" s="485"/>
      <c r="C16" s="672"/>
      <c r="D16" s="672"/>
      <c r="E16" s="672"/>
      <c r="F16" s="672"/>
      <c r="G16" s="672"/>
      <c r="H16" s="672"/>
      <c r="I16" s="672"/>
      <c r="J16" s="672"/>
      <c r="K16" s="672"/>
      <c r="L16" s="486"/>
      <c r="M16" s="633"/>
      <c r="N16" s="634"/>
      <c r="O16" s="635"/>
    </row>
    <row r="17" spans="1:15" ht="12.5">
      <c r="A17" s="339" t="s">
        <v>3426</v>
      </c>
      <c r="B17" s="485"/>
      <c r="C17" s="672"/>
      <c r="D17" s="672"/>
      <c r="E17" s="672"/>
      <c r="F17" s="672"/>
      <c r="G17" s="672"/>
      <c r="H17" s="672"/>
      <c r="I17" s="672"/>
      <c r="J17" s="672"/>
      <c r="K17" s="672"/>
      <c r="L17" s="486"/>
      <c r="M17" s="633"/>
      <c r="N17" s="634"/>
      <c r="O17" s="635"/>
    </row>
    <row r="18" spans="1:15" ht="12.5">
      <c r="A18" s="340" t="s">
        <v>3918</v>
      </c>
      <c r="B18" s="485"/>
      <c r="C18" s="672"/>
      <c r="D18" s="672"/>
      <c r="E18" s="672"/>
      <c r="F18" s="672"/>
      <c r="G18" s="672"/>
      <c r="H18" s="672"/>
      <c r="I18" s="672"/>
      <c r="J18" s="672"/>
      <c r="K18" s="672"/>
      <c r="L18" s="486"/>
      <c r="M18" s="633"/>
      <c r="N18" s="634"/>
      <c r="O18" s="635"/>
    </row>
    <row r="19" spans="1:15" ht="12.5">
      <c r="A19" s="340" t="s">
        <v>3436</v>
      </c>
      <c r="B19" s="485"/>
      <c r="C19" s="672"/>
      <c r="D19" s="672"/>
      <c r="E19" s="672"/>
      <c r="F19" s="672"/>
      <c r="G19" s="672"/>
      <c r="H19" s="672"/>
      <c r="I19" s="672"/>
      <c r="J19" s="672"/>
      <c r="K19" s="672"/>
      <c r="L19" s="486"/>
      <c r="M19" s="633"/>
      <c r="N19" s="634"/>
      <c r="O19" s="635"/>
    </row>
    <row r="20" spans="1:15" ht="12.5">
      <c r="A20" s="340" t="s">
        <v>3378</v>
      </c>
      <c r="B20" s="485"/>
      <c r="C20" s="672"/>
      <c r="D20" s="672"/>
      <c r="E20" s="672"/>
      <c r="F20" s="672"/>
      <c r="G20" s="672"/>
      <c r="H20" s="672"/>
      <c r="I20" s="672"/>
      <c r="J20" s="672"/>
      <c r="K20" s="672"/>
      <c r="L20" s="486"/>
      <c r="M20" s="633"/>
      <c r="N20" s="634"/>
      <c r="O20" s="635"/>
    </row>
    <row r="21" spans="1:15" ht="12.5">
      <c r="A21" s="339" t="s">
        <v>3430</v>
      </c>
      <c r="B21" s="485"/>
      <c r="C21" s="672"/>
      <c r="D21" s="672"/>
      <c r="E21" s="672"/>
      <c r="F21" s="672"/>
      <c r="G21" s="672"/>
      <c r="H21" s="672"/>
      <c r="I21" s="672"/>
      <c r="J21" s="672"/>
      <c r="K21" s="672"/>
      <c r="L21" s="486"/>
      <c r="M21" s="633"/>
      <c r="N21" s="634"/>
      <c r="O21" s="635"/>
    </row>
    <row r="22" spans="1:15" ht="12.5">
      <c r="A22" s="340" t="s">
        <v>3433</v>
      </c>
      <c r="B22" s="485"/>
      <c r="C22" s="672"/>
      <c r="D22" s="672"/>
      <c r="E22" s="672"/>
      <c r="F22" s="672"/>
      <c r="G22" s="672"/>
      <c r="H22" s="672"/>
      <c r="I22" s="672"/>
      <c r="J22" s="672"/>
      <c r="K22" s="672"/>
      <c r="L22" s="486"/>
      <c r="M22" s="633"/>
      <c r="N22" s="634"/>
      <c r="O22" s="635"/>
    </row>
    <row r="23" spans="1:15" ht="12.5">
      <c r="A23" s="340" t="s">
        <v>3428</v>
      </c>
      <c r="B23" s="485"/>
      <c r="C23" s="672"/>
      <c r="D23" s="672"/>
      <c r="E23" s="672"/>
      <c r="F23" s="672"/>
      <c r="G23" s="672"/>
      <c r="H23" s="672"/>
      <c r="I23" s="672"/>
      <c r="J23" s="672"/>
      <c r="K23" s="672"/>
      <c r="L23" s="486"/>
      <c r="M23" s="633"/>
      <c r="N23" s="634"/>
      <c r="O23" s="635"/>
    </row>
    <row r="24" spans="1:15" ht="12.5">
      <c r="A24" s="340" t="s">
        <v>11</v>
      </c>
      <c r="B24" s="485"/>
      <c r="C24" s="672"/>
      <c r="D24" s="672"/>
      <c r="E24" s="672"/>
      <c r="F24" s="672"/>
      <c r="G24" s="672"/>
      <c r="H24" s="672"/>
      <c r="I24" s="672"/>
      <c r="J24" s="672"/>
      <c r="K24" s="672"/>
      <c r="L24" s="486"/>
      <c r="M24" s="633"/>
      <c r="N24" s="634"/>
      <c r="O24" s="635"/>
    </row>
    <row r="25" spans="1:15" ht="12.5">
      <c r="A25" s="340" t="s">
        <v>13</v>
      </c>
      <c r="B25" s="485"/>
      <c r="C25" s="672"/>
      <c r="D25" s="672"/>
      <c r="E25" s="672"/>
      <c r="F25" s="672"/>
      <c r="G25" s="672"/>
      <c r="H25" s="672"/>
      <c r="I25" s="672"/>
      <c r="J25" s="672"/>
      <c r="K25" s="672"/>
      <c r="L25" s="486"/>
      <c r="M25" s="633"/>
      <c r="N25" s="634"/>
      <c r="O25" s="635"/>
    </row>
    <row r="26" spans="1:15">
      <c r="B26" s="485"/>
      <c r="C26" s="672"/>
      <c r="D26" s="672"/>
      <c r="E26" s="672"/>
      <c r="F26" s="672"/>
      <c r="G26" s="672"/>
      <c r="H26" s="672"/>
      <c r="I26" s="672"/>
      <c r="J26" s="672"/>
      <c r="K26" s="672"/>
      <c r="L26" s="486"/>
      <c r="M26" s="639"/>
      <c r="N26" s="640"/>
      <c r="O26" s="641"/>
    </row>
    <row r="27" spans="1:15">
      <c r="B27" s="485"/>
      <c r="C27" s="672"/>
      <c r="D27" s="672"/>
      <c r="E27" s="672"/>
      <c r="F27" s="672"/>
      <c r="G27" s="672"/>
      <c r="H27" s="672"/>
      <c r="I27" s="672"/>
      <c r="J27" s="672"/>
      <c r="K27" s="672"/>
      <c r="L27" s="486"/>
      <c r="M27" s="613" t="s">
        <v>3459</v>
      </c>
      <c r="N27" s="614"/>
      <c r="O27" s="615"/>
    </row>
    <row r="28" spans="1:15">
      <c r="B28" s="485"/>
      <c r="C28" s="672"/>
      <c r="D28" s="672"/>
      <c r="E28" s="672"/>
      <c r="F28" s="672"/>
      <c r="G28" s="672"/>
      <c r="H28" s="672"/>
      <c r="I28" s="672"/>
      <c r="J28" s="672"/>
      <c r="K28" s="672"/>
      <c r="L28" s="486"/>
      <c r="M28" s="633"/>
      <c r="N28" s="634"/>
      <c r="O28" s="635"/>
    </row>
    <row r="29" spans="1:15">
      <c r="B29" s="485"/>
      <c r="C29" s="672"/>
      <c r="D29" s="672"/>
      <c r="E29" s="672"/>
      <c r="F29" s="672"/>
      <c r="G29" s="672"/>
      <c r="H29" s="672"/>
      <c r="I29" s="672"/>
      <c r="J29" s="672"/>
      <c r="K29" s="672"/>
      <c r="L29" s="486"/>
      <c r="M29" s="633"/>
      <c r="N29" s="634"/>
      <c r="O29" s="635"/>
    </row>
    <row r="30" spans="1:15">
      <c r="B30" s="124"/>
      <c r="C30" s="469"/>
      <c r="D30" s="469"/>
      <c r="E30" s="469"/>
      <c r="F30" s="469"/>
      <c r="G30" s="469"/>
      <c r="H30" s="469"/>
      <c r="I30" s="670"/>
      <c r="J30" s="670"/>
      <c r="K30" s="469"/>
      <c r="L30" s="125"/>
      <c r="M30" s="633"/>
      <c r="N30" s="634"/>
      <c r="O30" s="635"/>
    </row>
    <row r="31" spans="1:15">
      <c r="B31" s="124"/>
      <c r="C31" s="470"/>
      <c r="D31" s="300"/>
      <c r="E31" s="300"/>
      <c r="F31" s="659" t="s">
        <v>3420</v>
      </c>
      <c r="G31" s="660"/>
      <c r="H31" s="650" t="s">
        <v>3900</v>
      </c>
      <c r="I31" s="650"/>
      <c r="J31" s="650"/>
      <c r="K31" s="445"/>
      <c r="L31" s="125"/>
      <c r="M31" s="633"/>
      <c r="N31" s="634"/>
      <c r="O31" s="635"/>
    </row>
    <row r="32" spans="1:15" ht="62.5" customHeight="1">
      <c r="B32" s="124"/>
      <c r="C32" s="470"/>
      <c r="D32" s="300"/>
      <c r="E32" s="300"/>
      <c r="F32" s="661"/>
      <c r="G32" s="662"/>
      <c r="H32" s="188" t="s">
        <v>3902</v>
      </c>
      <c r="I32" s="650" t="s">
        <v>3901</v>
      </c>
      <c r="J32" s="650"/>
      <c r="K32" s="445"/>
      <c r="L32" s="125"/>
      <c r="M32" s="633"/>
      <c r="N32" s="634"/>
      <c r="O32" s="635"/>
    </row>
    <row r="33" spans="2:15" ht="76.5">
      <c r="B33" s="124"/>
      <c r="C33" s="472" t="s">
        <v>3903</v>
      </c>
      <c r="D33" s="117" t="s">
        <v>89</v>
      </c>
      <c r="E33" s="397" t="s">
        <v>3829</v>
      </c>
      <c r="F33" s="117" t="s">
        <v>79</v>
      </c>
      <c r="G33" s="289" t="s">
        <v>3463</v>
      </c>
      <c r="H33" s="397" t="s">
        <v>117</v>
      </c>
      <c r="I33" s="289" t="s">
        <v>3402</v>
      </c>
      <c r="J33" s="289" t="s">
        <v>3403</v>
      </c>
      <c r="K33" s="117" t="s">
        <v>80</v>
      </c>
      <c r="L33" s="236"/>
      <c r="M33" s="633"/>
      <c r="N33" s="634"/>
      <c r="O33" s="635"/>
    </row>
    <row r="34" spans="2:15">
      <c r="B34" s="124"/>
      <c r="C34" s="164"/>
      <c r="D34" s="165"/>
      <c r="E34" s="165"/>
      <c r="F34" s="165"/>
      <c r="G34" s="164"/>
      <c r="H34" s="164"/>
      <c r="I34" s="282"/>
      <c r="J34" s="282"/>
      <c r="K34" s="132">
        <f>IFERROR(IF(E34="Oui",IF(ISBLANK(F34),H34*VLOOKUP(D34,'BDD FE'!$B$130:$E$148,4,FALSE)*10^-3*IF(ISBLANK(I34),IF(ISBLANK(J34),1,J34),I34),'7_DéplacementsProfessionnels'!G18*VLOOKUP('7_DéplacementsProfessionnels'!F18,'BDD FE'!$B$109:$C$119,2,FALSE)*10^-3),IF(ISBLANK(F34),H34*VLOOKUP(D34,'BDD FE'!$B$130:$G$148,6,FALSE)*10^-3*IF(ISBLANK(I34),IF(ISBLANK(J34),1,J34),I34),'7_DéplacementsProfessionnels'!G18*VLOOKUP('7_DéplacementsProfessionnels'!F18,'BDD FE'!$B$109:$C$119,2,FALSE)*10^-3)),0)</f>
        <v>0</v>
      </c>
      <c r="L34" s="125"/>
      <c r="M34" s="633"/>
      <c r="N34" s="634"/>
      <c r="O34" s="635"/>
    </row>
    <row r="35" spans="2:15">
      <c r="B35" s="124"/>
      <c r="C35" s="489"/>
      <c r="D35" s="165"/>
      <c r="E35" s="165"/>
      <c r="F35" s="165"/>
      <c r="G35" s="164"/>
      <c r="H35" s="164"/>
      <c r="I35" s="282"/>
      <c r="J35" s="282"/>
      <c r="K35" s="132">
        <f>IFERROR(IF(E35="Oui",IF(ISBLANK(F35),H35*VLOOKUP(D35,'BDD FE'!$B$130:$E$148,4,FALSE)*10^-3*IF(ISBLANK(I35),IF(ISBLANK(J35),1,J35),I35),'7_DéplacementsProfessionnels'!G19*VLOOKUP('7_DéplacementsProfessionnels'!F19,'BDD FE'!$B$109:$C$119,2,FALSE)*10^-3),IF(ISBLANK(F35),H35*VLOOKUP(D35,'BDD FE'!$B$130:$G$148,6,FALSE)*10^-3*IF(ISBLANK(I35),IF(ISBLANK(J35),1,J35),I35),'7_DéplacementsProfessionnels'!G19*VLOOKUP('7_DéplacementsProfessionnels'!F19,'BDD FE'!$B$109:$C$119,2,FALSE)*10^-3)),0)</f>
        <v>0</v>
      </c>
      <c r="L35" s="125"/>
      <c r="M35" s="633"/>
      <c r="N35" s="634"/>
      <c r="O35" s="635"/>
    </row>
    <row r="36" spans="2:15">
      <c r="B36" s="124"/>
      <c r="C36" s="164"/>
      <c r="D36" s="165"/>
      <c r="E36" s="165"/>
      <c r="F36" s="165"/>
      <c r="G36" s="164"/>
      <c r="H36" s="164"/>
      <c r="I36" s="282"/>
      <c r="J36" s="282"/>
      <c r="K36" s="132">
        <f>IFERROR(IF(E36="Oui",IF(ISBLANK(F36),H36*VLOOKUP(D36,'BDD FE'!$B$130:$E$148,4,FALSE)*10^-3*IF(ISBLANK(I36),IF(ISBLANK(J36),1,J36),I36),'7_DéplacementsProfessionnels'!G20*VLOOKUP('7_DéplacementsProfessionnels'!F20,'BDD FE'!$B$109:$C$119,2,FALSE)*10^-3),IF(ISBLANK(F36),H36*VLOOKUP(D36,'BDD FE'!$B$130:$G$148,6,FALSE)*10^-3*IF(ISBLANK(I36),IF(ISBLANK(J36),1,J36),I36),'7_DéplacementsProfessionnels'!G20*VLOOKUP('7_DéplacementsProfessionnels'!F20,'BDD FE'!$B$109:$C$119,2,FALSE)*10^-3)),0)</f>
        <v>0</v>
      </c>
      <c r="L36" s="125"/>
      <c r="M36" s="633"/>
      <c r="N36" s="634"/>
      <c r="O36" s="635"/>
    </row>
    <row r="37" spans="2:15">
      <c r="B37" s="124"/>
      <c r="C37" s="164"/>
      <c r="D37" s="165"/>
      <c r="E37" s="165"/>
      <c r="F37" s="165"/>
      <c r="G37" s="164"/>
      <c r="H37" s="164"/>
      <c r="I37" s="282"/>
      <c r="J37" s="282"/>
      <c r="K37" s="132">
        <f>IFERROR(IF(E37="Oui",IF(ISBLANK(F37),H37*VLOOKUP(D37,'BDD FE'!$B$130:$E$148,4,FALSE)*10^-3*IF(ISBLANK(I37),IF(ISBLANK(J37),1,J37),I37),'7_DéplacementsProfessionnels'!G21*VLOOKUP('7_DéplacementsProfessionnels'!F21,'BDD FE'!$B$109:$C$119,2,FALSE)*10^-3),IF(ISBLANK(F37),H37*VLOOKUP(D37,'BDD FE'!$B$130:$G$148,6,FALSE)*10^-3*IF(ISBLANK(I37),IF(ISBLANK(J37),1,J37),I37),'7_DéplacementsProfessionnels'!G21*VLOOKUP('7_DéplacementsProfessionnels'!F21,'BDD FE'!$B$109:$C$119,2,FALSE)*10^-3)),0)</f>
        <v>0</v>
      </c>
      <c r="L37" s="125"/>
      <c r="M37" s="633"/>
      <c r="N37" s="634"/>
      <c r="O37" s="635"/>
    </row>
    <row r="38" spans="2:15">
      <c r="B38" s="124"/>
      <c r="C38" s="164"/>
      <c r="D38" s="165"/>
      <c r="E38" s="165"/>
      <c r="F38" s="165"/>
      <c r="G38" s="164"/>
      <c r="H38" s="164"/>
      <c r="I38" s="282"/>
      <c r="J38" s="282"/>
      <c r="K38" s="132">
        <f>IFERROR(IF(E38="Oui",IF(ISBLANK(F38),H38*VLOOKUP(D38,'BDD FE'!$B$130:$E$148,4,FALSE)*10^-3*IF(ISBLANK(I38),IF(ISBLANK(J38),1,J38),I38),'7_DéplacementsProfessionnels'!G22*VLOOKUP('7_DéplacementsProfessionnels'!F22,'BDD FE'!$B$109:$C$119,2,FALSE)*10^-3),IF(ISBLANK(F38),H38*VLOOKUP(D38,'BDD FE'!$B$130:$G$148,6,FALSE)*10^-3*IF(ISBLANK(I38),IF(ISBLANK(J38),1,J38),I38),'7_DéplacementsProfessionnels'!G22*VLOOKUP('7_DéplacementsProfessionnels'!F22,'BDD FE'!$B$109:$C$119,2,FALSE)*10^-3)),0)</f>
        <v>0</v>
      </c>
      <c r="L38" s="125"/>
      <c r="M38" s="633"/>
      <c r="N38" s="634"/>
      <c r="O38" s="635"/>
    </row>
    <row r="39" spans="2:15">
      <c r="B39" s="124"/>
      <c r="C39" s="164"/>
      <c r="D39" s="165"/>
      <c r="E39" s="165"/>
      <c r="F39" s="165"/>
      <c r="G39" s="164"/>
      <c r="H39" s="164"/>
      <c r="I39" s="282"/>
      <c r="J39" s="282"/>
      <c r="K39" s="132">
        <f>IFERROR(IF(E39="Oui",IF(ISBLANK(F39),H39*VLOOKUP(D39,'BDD FE'!$B$130:$E$148,4,FALSE)*10^-3*IF(ISBLANK(I39),IF(ISBLANK(J39),1,J39),I39),'7_DéplacementsProfessionnels'!G23*VLOOKUP('7_DéplacementsProfessionnels'!F23,'BDD FE'!$B$109:$C$119,2,FALSE)*10^-3),IF(ISBLANK(F39),H39*VLOOKUP(D39,'BDD FE'!$B$130:$G$148,6,FALSE)*10^-3*IF(ISBLANK(I39),IF(ISBLANK(J39),1,J39),I39),'7_DéplacementsProfessionnels'!G23*VLOOKUP('7_DéplacementsProfessionnels'!F23,'BDD FE'!$B$109:$C$119,2,FALSE)*10^-3)),0)</f>
        <v>0</v>
      </c>
      <c r="L39" s="125"/>
      <c r="M39" s="633"/>
      <c r="N39" s="634"/>
      <c r="O39" s="635"/>
    </row>
    <row r="40" spans="2:15">
      <c r="B40" s="124"/>
      <c r="C40" s="164"/>
      <c r="D40" s="165"/>
      <c r="E40" s="165"/>
      <c r="F40" s="165"/>
      <c r="G40" s="164"/>
      <c r="H40" s="164"/>
      <c r="I40" s="282"/>
      <c r="J40" s="282"/>
      <c r="K40" s="132">
        <f>IFERROR(IF(E40="Oui",IF(ISBLANK(F40),H40*VLOOKUP(D40,'BDD FE'!$B$130:$E$148,4,FALSE)*10^-3*IF(ISBLANK(I40),IF(ISBLANK(J40),1,J40),I40),'7_DéplacementsProfessionnels'!G24*VLOOKUP('7_DéplacementsProfessionnels'!F24,'BDD FE'!$B$109:$C$119,2,FALSE)*10^-3),IF(ISBLANK(F40),H40*VLOOKUP(D40,'BDD FE'!$B$130:$G$148,6,FALSE)*10^-3*IF(ISBLANK(I40),IF(ISBLANK(J40),1,J40),I40),'7_DéplacementsProfessionnels'!G24*VLOOKUP('7_DéplacementsProfessionnels'!F24,'BDD FE'!$B$109:$C$119,2,FALSE)*10^-3)),0)</f>
        <v>0</v>
      </c>
      <c r="L40" s="125"/>
      <c r="M40" s="633"/>
      <c r="N40" s="634"/>
      <c r="O40" s="635"/>
    </row>
    <row r="41" spans="2:15">
      <c r="B41" s="124"/>
      <c r="C41" s="164"/>
      <c r="D41" s="165"/>
      <c r="E41" s="165"/>
      <c r="F41" s="165"/>
      <c r="G41" s="164"/>
      <c r="H41" s="164"/>
      <c r="I41" s="282"/>
      <c r="J41" s="282"/>
      <c r="K41" s="132">
        <f>IFERROR(IF(E41="Oui",IF(ISBLANK(F41),H41*VLOOKUP(D41,'BDD FE'!$B$130:$E$148,4,FALSE)*10^-3*IF(ISBLANK(I41),IF(ISBLANK(J41),1,J41),I41),'7_DéplacementsProfessionnels'!G25*VLOOKUP('7_DéplacementsProfessionnels'!F25,'BDD FE'!$B$109:$C$119,2,FALSE)*10^-3),IF(ISBLANK(F41),H41*VLOOKUP(D41,'BDD FE'!$B$130:$G$148,6,FALSE)*10^-3*IF(ISBLANK(I41),IF(ISBLANK(J41),1,J41),I41),'7_DéplacementsProfessionnels'!G25*VLOOKUP('7_DéplacementsProfessionnels'!F25,'BDD FE'!$B$109:$C$119,2,FALSE)*10^-3)),0)</f>
        <v>0</v>
      </c>
      <c r="L41" s="125"/>
      <c r="M41" s="633"/>
      <c r="N41" s="634"/>
      <c r="O41" s="635"/>
    </row>
    <row r="42" spans="2:15">
      <c r="B42" s="124"/>
      <c r="C42" s="164"/>
      <c r="D42" s="165"/>
      <c r="E42" s="165"/>
      <c r="F42" s="165"/>
      <c r="G42" s="164"/>
      <c r="H42" s="164"/>
      <c r="I42" s="282"/>
      <c r="J42" s="282"/>
      <c r="K42" s="132">
        <f>IFERROR(IF(E42="Oui",IF(ISBLANK(F42),H42*VLOOKUP(D42,'BDD FE'!$B$130:$E$148,4,FALSE)*10^-3*IF(ISBLANK(I42),IF(ISBLANK(J42),1,J42),I42),'7_DéplacementsProfessionnels'!G26*VLOOKUP('7_DéplacementsProfessionnels'!F26,'BDD FE'!$B$109:$C$119,2,FALSE)*10^-3),IF(ISBLANK(F42),H42*VLOOKUP(D42,'BDD FE'!$B$130:$G$148,6,FALSE)*10^-3*IF(ISBLANK(I42),IF(ISBLANK(J42),1,J42),I42),'7_DéplacementsProfessionnels'!G26*VLOOKUP('7_DéplacementsProfessionnels'!F26,'BDD FE'!$B$109:$C$119,2,FALSE)*10^-3)),0)</f>
        <v>0</v>
      </c>
      <c r="L42" s="125"/>
      <c r="M42" s="633"/>
      <c r="N42" s="634"/>
      <c r="O42" s="635"/>
    </row>
    <row r="43" spans="2:15">
      <c r="B43" s="124"/>
      <c r="C43" s="470"/>
      <c r="D43" s="470"/>
      <c r="E43" s="470"/>
      <c r="F43" s="470"/>
      <c r="G43" s="470"/>
      <c r="H43" s="470"/>
      <c r="I43" s="470"/>
      <c r="J43" s="470"/>
      <c r="K43" s="473">
        <f>SUM(K34:K42)</f>
        <v>0</v>
      </c>
      <c r="L43" s="125"/>
      <c r="M43" s="633"/>
      <c r="N43" s="634"/>
      <c r="O43" s="635"/>
    </row>
    <row r="44" spans="2:15">
      <c r="B44" s="124"/>
      <c r="C44" s="470"/>
      <c r="D44" s="470"/>
      <c r="E44" s="433" t="s">
        <v>3830</v>
      </c>
      <c r="F44" s="470"/>
      <c r="G44" s="470"/>
      <c r="H44" s="470"/>
      <c r="I44" s="470"/>
      <c r="J44" s="470"/>
      <c r="K44" s="470"/>
      <c r="L44" s="125"/>
      <c r="M44" s="633"/>
      <c r="N44" s="634"/>
      <c r="O44" s="635"/>
    </row>
    <row r="45" spans="2:15">
      <c r="B45" s="124"/>
      <c r="C45" s="470"/>
      <c r="D45" s="470"/>
      <c r="E45" s="470"/>
      <c r="F45" s="470"/>
      <c r="G45" s="470"/>
      <c r="H45" s="470"/>
      <c r="I45" s="470"/>
      <c r="J45" s="470"/>
      <c r="K45" s="470"/>
      <c r="L45" s="125"/>
      <c r="M45" s="633"/>
      <c r="N45" s="634"/>
      <c r="O45" s="635"/>
    </row>
    <row r="46" spans="2:15">
      <c r="B46" s="124"/>
      <c r="C46" s="470"/>
      <c r="D46" s="470"/>
      <c r="E46" s="470"/>
      <c r="F46" s="470"/>
      <c r="G46" s="470"/>
      <c r="H46" s="470"/>
      <c r="I46" s="470"/>
      <c r="J46" s="470"/>
      <c r="K46" s="470"/>
      <c r="L46" s="125"/>
      <c r="M46" s="633"/>
      <c r="N46" s="634"/>
      <c r="O46" s="635"/>
    </row>
    <row r="47" spans="2:15">
      <c r="B47" s="124"/>
      <c r="C47" s="469"/>
      <c r="D47" s="469"/>
      <c r="E47" s="469"/>
      <c r="F47" s="471"/>
      <c r="G47" s="471"/>
      <c r="H47" s="469"/>
      <c r="I47" s="469"/>
      <c r="J47" s="469"/>
      <c r="K47" s="468"/>
      <c r="L47" s="125"/>
      <c r="M47" s="633"/>
      <c r="N47" s="634"/>
      <c r="O47" s="635"/>
    </row>
    <row r="48" spans="2:15">
      <c r="B48" s="124"/>
      <c r="L48" s="125"/>
      <c r="M48" s="633"/>
      <c r="N48" s="634"/>
      <c r="O48" s="635"/>
    </row>
    <row r="49" spans="2:15">
      <c r="B49" s="124"/>
      <c r="C49" s="642" t="s">
        <v>175</v>
      </c>
      <c r="D49" s="643"/>
      <c r="E49" s="643"/>
      <c r="F49" s="643"/>
      <c r="G49" s="643"/>
      <c r="H49" s="643"/>
      <c r="I49" s="643"/>
      <c r="J49" s="643"/>
      <c r="K49" s="643"/>
      <c r="L49" s="125"/>
      <c r="M49" s="633"/>
      <c r="N49" s="634"/>
      <c r="O49" s="635"/>
    </row>
    <row r="50" spans="2:15">
      <c r="B50" s="124"/>
      <c r="C50" s="415"/>
      <c r="D50" s="415"/>
      <c r="E50" s="415"/>
      <c r="F50" s="415"/>
      <c r="G50" s="415"/>
      <c r="H50" s="415"/>
      <c r="I50" s="415"/>
      <c r="J50" s="415"/>
      <c r="K50" s="415"/>
      <c r="L50" s="125"/>
      <c r="M50" s="633"/>
      <c r="N50" s="634"/>
      <c r="O50" s="635"/>
    </row>
    <row r="51" spans="2:15">
      <c r="B51" s="124"/>
      <c r="C51" s="415"/>
      <c r="D51" s="415"/>
      <c r="E51" s="415"/>
      <c r="F51" s="415"/>
      <c r="G51" s="415"/>
      <c r="H51" s="415"/>
      <c r="I51" s="415"/>
      <c r="J51" s="415"/>
      <c r="K51" s="415"/>
      <c r="L51" s="125"/>
      <c r="M51" s="633"/>
      <c r="N51" s="634"/>
      <c r="O51" s="635"/>
    </row>
    <row r="52" spans="2:15">
      <c r="B52" s="124"/>
      <c r="C52" s="415"/>
      <c r="D52" s="415"/>
      <c r="E52" s="415"/>
      <c r="F52" s="415"/>
      <c r="G52" s="415"/>
      <c r="H52" s="415"/>
      <c r="I52" s="415"/>
      <c r="J52" s="415"/>
      <c r="K52" s="415"/>
      <c r="L52" s="125"/>
      <c r="M52" s="633"/>
      <c r="N52" s="634"/>
      <c r="O52" s="635"/>
    </row>
    <row r="53" spans="2:15">
      <c r="B53" s="124"/>
      <c r="C53" s="415"/>
      <c r="D53" s="415"/>
      <c r="E53" s="415"/>
      <c r="F53" s="415"/>
      <c r="G53" s="415"/>
      <c r="H53" s="415"/>
      <c r="I53" s="415"/>
      <c r="J53" s="415"/>
      <c r="K53" s="415"/>
      <c r="L53" s="125"/>
      <c r="M53" s="633"/>
      <c r="N53" s="634"/>
      <c r="O53" s="635"/>
    </row>
    <row r="54" spans="2:15" ht="50">
      <c r="B54" s="124"/>
      <c r="E54" s="122" t="s">
        <v>176</v>
      </c>
      <c r="F54" s="122" t="s">
        <v>72</v>
      </c>
      <c r="G54" s="397" t="s">
        <v>3829</v>
      </c>
      <c r="H54" s="117" t="s">
        <v>117</v>
      </c>
      <c r="I54" s="117" t="s">
        <v>3383</v>
      </c>
      <c r="J54" s="289" t="s">
        <v>3448</v>
      </c>
      <c r="K54" s="117" t="s">
        <v>118</v>
      </c>
      <c r="L54" s="125"/>
      <c r="M54" s="633"/>
      <c r="N54" s="634"/>
      <c r="O54" s="635"/>
    </row>
    <row r="55" spans="2:15">
      <c r="B55" s="124"/>
      <c r="E55" s="163"/>
      <c r="F55" s="118"/>
      <c r="G55" s="118"/>
      <c r="H55" s="163"/>
      <c r="I55" s="163"/>
      <c r="J55" s="317">
        <f>H55*I55</f>
        <v>0</v>
      </c>
      <c r="K55" s="123">
        <f>IFERROR(IF(G55="Oui",J55*VLOOKUP(F55,'BDD FE'!$B$386:$E$421,2,0)*10^-3,I55*H55*VLOOKUP(F55,'BDD FE'!$B$386:$G$421,6,0)*10^-3),0)</f>
        <v>0</v>
      </c>
      <c r="L55" s="125"/>
      <c r="M55" s="633"/>
      <c r="N55" s="634"/>
      <c r="O55" s="635"/>
    </row>
    <row r="56" spans="2:15">
      <c r="B56" s="124"/>
      <c r="E56" s="163"/>
      <c r="F56" s="118"/>
      <c r="G56" s="118"/>
      <c r="H56" s="163"/>
      <c r="I56" s="163"/>
      <c r="J56" s="317">
        <f t="shared" ref="J56:J70" si="0">H56*I56</f>
        <v>0</v>
      </c>
      <c r="K56" s="123">
        <f>IFERROR(IF(G56="Oui",J56*VLOOKUP(F56,'BDD FE'!$B$386:$E$421,2,0)*10^-3,I56*H56*VLOOKUP(F56,'BDD FE'!$B$386:$G$421,6,0)*10^-3),0)</f>
        <v>0</v>
      </c>
      <c r="L56" s="125"/>
      <c r="M56" s="633"/>
      <c r="N56" s="634"/>
      <c r="O56" s="635"/>
    </row>
    <row r="57" spans="2:15">
      <c r="B57" s="124"/>
      <c r="E57" s="163"/>
      <c r="F57" s="118"/>
      <c r="G57" s="118"/>
      <c r="H57" s="163"/>
      <c r="I57" s="163"/>
      <c r="J57" s="317">
        <f t="shared" si="0"/>
        <v>0</v>
      </c>
      <c r="K57" s="123">
        <f>IFERROR(IF(G57="Oui",J57*VLOOKUP(F57,'BDD FE'!$B$386:$E$421,2,0)*10^-3,I57*H57*VLOOKUP(F57,'BDD FE'!$B$386:$G$421,6,0)*10^-3),0)</f>
        <v>0</v>
      </c>
      <c r="L57" s="125"/>
      <c r="M57" s="633"/>
      <c r="N57" s="634"/>
      <c r="O57" s="635"/>
    </row>
    <row r="58" spans="2:15">
      <c r="B58" s="124"/>
      <c r="E58" s="163"/>
      <c r="F58" s="118"/>
      <c r="G58" s="118"/>
      <c r="H58" s="163"/>
      <c r="I58" s="163"/>
      <c r="J58" s="317">
        <f t="shared" si="0"/>
        <v>0</v>
      </c>
      <c r="K58" s="123">
        <f>IFERROR(IF(G58="Oui",J58*VLOOKUP(F58,'BDD FE'!$B$386:$E$421,2,0)*10^-3,I58*H58*VLOOKUP(F58,'BDD FE'!$B$386:$G$421,6,0)*10^-3),0)</f>
        <v>0</v>
      </c>
      <c r="L58" s="125"/>
      <c r="M58" s="633"/>
      <c r="N58" s="634"/>
      <c r="O58" s="635"/>
    </row>
    <row r="59" spans="2:15">
      <c r="B59" s="124"/>
      <c r="E59" s="163"/>
      <c r="F59" s="118"/>
      <c r="G59" s="118"/>
      <c r="H59" s="163"/>
      <c r="I59" s="163"/>
      <c r="J59" s="317">
        <f t="shared" si="0"/>
        <v>0</v>
      </c>
      <c r="K59" s="123">
        <f>IFERROR(IF(G59="Oui",J59*VLOOKUP(F59,'BDD FE'!$B$386:$E$421,2,0)*10^-3,I59*H59*VLOOKUP(F59,'BDD FE'!$B$386:$G$421,6,0)*10^-3),0)</f>
        <v>0</v>
      </c>
      <c r="L59" s="125"/>
      <c r="M59" s="633"/>
      <c r="N59" s="634"/>
      <c r="O59" s="635"/>
    </row>
    <row r="60" spans="2:15">
      <c r="B60" s="124"/>
      <c r="E60" s="163"/>
      <c r="F60" s="118"/>
      <c r="G60" s="118"/>
      <c r="H60" s="163"/>
      <c r="I60" s="163"/>
      <c r="J60" s="317">
        <f t="shared" si="0"/>
        <v>0</v>
      </c>
      <c r="K60" s="123">
        <f>IFERROR(IF(G60="Oui",J60*VLOOKUP(F60,'BDD FE'!$B$386:$E$421,2,0)*10^-3,I60*H60*VLOOKUP(F60,'BDD FE'!$B$386:$G$421,6,0)*10^-3),0)</f>
        <v>0</v>
      </c>
      <c r="L60" s="125"/>
      <c r="M60" s="633"/>
      <c r="N60" s="634"/>
      <c r="O60" s="635"/>
    </row>
    <row r="61" spans="2:15">
      <c r="B61" s="124"/>
      <c r="E61" s="163"/>
      <c r="F61" s="118"/>
      <c r="G61" s="118"/>
      <c r="H61" s="163"/>
      <c r="I61" s="163"/>
      <c r="J61" s="317">
        <f t="shared" si="0"/>
        <v>0</v>
      </c>
      <c r="K61" s="123">
        <f>IFERROR(IF(G61="Oui",J61*VLOOKUP(F61,'BDD FE'!$B$386:$E$421,2,0)*10^-3,I61*H61*VLOOKUP(F61,'BDD FE'!$B$386:$G$421,6,0)*10^-3),0)</f>
        <v>0</v>
      </c>
      <c r="L61" s="125"/>
      <c r="M61" s="633"/>
      <c r="N61" s="634"/>
      <c r="O61" s="635"/>
    </row>
    <row r="62" spans="2:15">
      <c r="B62" s="124"/>
      <c r="E62" s="163"/>
      <c r="F62" s="118"/>
      <c r="G62" s="118"/>
      <c r="H62" s="163"/>
      <c r="I62" s="163"/>
      <c r="J62" s="317">
        <f t="shared" si="0"/>
        <v>0</v>
      </c>
      <c r="K62" s="123">
        <f>IFERROR(IF(G62="Oui",J62*VLOOKUP(F62,'BDD FE'!$B$386:$E$421,2,0)*10^-3,I62*H62*VLOOKUP(F62,'BDD FE'!$B$386:$G$421,6,0)*10^-3),0)</f>
        <v>0</v>
      </c>
      <c r="L62" s="125"/>
      <c r="M62" s="633"/>
      <c r="N62" s="634"/>
      <c r="O62" s="635"/>
    </row>
    <row r="63" spans="2:15">
      <c r="B63" s="124"/>
      <c r="E63" s="163"/>
      <c r="F63" s="118"/>
      <c r="G63" s="118"/>
      <c r="H63" s="163"/>
      <c r="I63" s="163"/>
      <c r="J63" s="317">
        <f t="shared" si="0"/>
        <v>0</v>
      </c>
      <c r="K63" s="123">
        <f>IFERROR(IF(G63="Oui",J63*VLOOKUP(F63,'BDD FE'!$B$386:$E$421,2,0)*10^-3,I63*H63*VLOOKUP(F63,'BDD FE'!$B$386:$G$421,6,0)*10^-3),0)</f>
        <v>0</v>
      </c>
      <c r="L63" s="125"/>
      <c r="M63" s="633"/>
      <c r="N63" s="634"/>
      <c r="O63" s="635"/>
    </row>
    <row r="64" spans="2:15">
      <c r="B64" s="124"/>
      <c r="E64" s="163"/>
      <c r="F64" s="118"/>
      <c r="G64" s="118"/>
      <c r="H64" s="163"/>
      <c r="I64" s="163"/>
      <c r="J64" s="317">
        <f t="shared" si="0"/>
        <v>0</v>
      </c>
      <c r="K64" s="123">
        <f>IFERROR(IF(G64="Oui",J64*VLOOKUP(F64,'BDD FE'!$B$386:$E$421,2,0)*10^-3,I64*H64*VLOOKUP(F64,'BDD FE'!$B$386:$G$421,6,0)*10^-3),0)</f>
        <v>0</v>
      </c>
      <c r="L64" s="125"/>
      <c r="M64" s="633"/>
      <c r="N64" s="634"/>
      <c r="O64" s="635"/>
    </row>
    <row r="65" spans="1:16" s="130" customFormat="1" ht="56.4" customHeight="1">
      <c r="A65" s="170"/>
      <c r="B65" s="124"/>
      <c r="C65" s="111"/>
      <c r="D65" s="111"/>
      <c r="E65" s="163"/>
      <c r="F65" s="118"/>
      <c r="G65" s="118"/>
      <c r="H65" s="163"/>
      <c r="I65" s="163"/>
      <c r="J65" s="317">
        <f t="shared" si="0"/>
        <v>0</v>
      </c>
      <c r="K65" s="123">
        <f>IFERROR(IF(G65="Oui",J65*VLOOKUP(F65,'BDD FE'!$B$386:$E$421,2,0)*10^-3,I65*H65*VLOOKUP(F65,'BDD FE'!$B$386:$G$421,6,0)*10^-3),0)</f>
        <v>0</v>
      </c>
      <c r="L65" s="125"/>
      <c r="M65" s="633"/>
      <c r="N65" s="634"/>
      <c r="O65" s="635"/>
      <c r="P65" s="169"/>
    </row>
    <row r="66" spans="1:16">
      <c r="B66" s="124"/>
      <c r="E66" s="163"/>
      <c r="F66" s="118"/>
      <c r="G66" s="118"/>
      <c r="H66" s="163"/>
      <c r="I66" s="163"/>
      <c r="J66" s="317">
        <f t="shared" si="0"/>
        <v>0</v>
      </c>
      <c r="K66" s="123">
        <f>IFERROR(IF(G66="Oui",J66*VLOOKUP(F66,'BDD FE'!$B$386:$E$421,2,0)*10^-3,I66*H66*VLOOKUP(F66,'BDD FE'!$B$386:$G$421,6,0)*10^-3),0)</f>
        <v>0</v>
      </c>
      <c r="L66" s="125"/>
      <c r="M66" s="633"/>
      <c r="N66" s="634"/>
      <c r="O66" s="635"/>
    </row>
    <row r="67" spans="1:16">
      <c r="B67" s="124"/>
      <c r="E67" s="163"/>
      <c r="F67" s="118"/>
      <c r="G67" s="118"/>
      <c r="H67" s="163"/>
      <c r="I67" s="163"/>
      <c r="J67" s="317">
        <f t="shared" si="0"/>
        <v>0</v>
      </c>
      <c r="K67" s="123">
        <f>IFERROR(IF(G67="Oui",J67*VLOOKUP(F67,'BDD FE'!$B$386:$E$421,2,0)*10^-3,I67*H67*VLOOKUP(F67,'BDD FE'!$B$386:$G$421,6,0)*10^-3),0)</f>
        <v>0</v>
      </c>
      <c r="L67" s="125"/>
      <c r="M67" s="633"/>
      <c r="N67" s="634"/>
      <c r="O67" s="635"/>
    </row>
    <row r="68" spans="1:16">
      <c r="B68" s="124"/>
      <c r="E68" s="163"/>
      <c r="F68" s="118"/>
      <c r="G68" s="118"/>
      <c r="H68" s="163"/>
      <c r="I68" s="163"/>
      <c r="J68" s="317">
        <f t="shared" si="0"/>
        <v>0</v>
      </c>
      <c r="K68" s="123">
        <f>IFERROR(IF(G68="Oui",J68*VLOOKUP(F68,'BDD FE'!$B$386:$E$421,2,0)*10^-3,I68*H68*VLOOKUP(F68,'BDD FE'!$B$386:$G$421,6,0)*10^-3),0)</f>
        <v>0</v>
      </c>
      <c r="L68" s="125"/>
      <c r="M68" s="633"/>
      <c r="N68" s="634"/>
      <c r="O68" s="635"/>
    </row>
    <row r="69" spans="1:16">
      <c r="B69" s="124"/>
      <c r="E69" s="163"/>
      <c r="F69" s="118"/>
      <c r="G69" s="118"/>
      <c r="H69" s="163"/>
      <c r="I69" s="163"/>
      <c r="J69" s="317">
        <f t="shared" si="0"/>
        <v>0</v>
      </c>
      <c r="K69" s="123">
        <f>IFERROR(IF(G69="Oui",J69*VLOOKUP(F69,'BDD FE'!$B$386:$E$421,2,0)*10^-3,I69*H69*VLOOKUP(F69,'BDD FE'!$B$386:$G$421,6,0)*10^-3),0)</f>
        <v>0</v>
      </c>
      <c r="L69" s="125"/>
      <c r="M69" s="633"/>
      <c r="N69" s="634"/>
      <c r="O69" s="635"/>
    </row>
    <row r="70" spans="1:16">
      <c r="B70" s="124"/>
      <c r="E70" s="163"/>
      <c r="F70" s="118"/>
      <c r="G70" s="118"/>
      <c r="H70" s="163"/>
      <c r="I70" s="163"/>
      <c r="J70" s="317">
        <f t="shared" si="0"/>
        <v>0</v>
      </c>
      <c r="K70" s="123">
        <f>IFERROR(IF(G70="Oui",J70*VLOOKUP(F70,'BDD FE'!$B$386:$E$421,2,0)*10^-3,I70*H70*VLOOKUP(F70,'BDD FE'!$B$386:$G$421,6,0)*10^-3),0)</f>
        <v>0</v>
      </c>
      <c r="L70" s="125"/>
      <c r="M70" s="633"/>
      <c r="N70" s="634"/>
      <c r="O70" s="635"/>
    </row>
    <row r="71" spans="1:16">
      <c r="B71" s="124"/>
      <c r="F71" s="467" t="s">
        <v>3830</v>
      </c>
      <c r="G71" s="467"/>
      <c r="K71" s="123">
        <f>SUM(K55:K70)</f>
        <v>0</v>
      </c>
      <c r="L71" s="125"/>
      <c r="M71" s="633"/>
      <c r="N71" s="634"/>
      <c r="O71" s="635"/>
    </row>
    <row r="72" spans="1:16">
      <c r="B72" s="124"/>
      <c r="K72" s="414"/>
      <c r="L72" s="125"/>
      <c r="M72" s="633"/>
      <c r="N72" s="634"/>
      <c r="O72" s="635"/>
    </row>
    <row r="73" spans="1:16">
      <c r="B73" s="124"/>
      <c r="K73" s="414"/>
      <c r="L73" s="125"/>
      <c r="M73" s="633"/>
      <c r="N73" s="634"/>
      <c r="O73" s="635"/>
    </row>
    <row r="74" spans="1:16">
      <c r="B74" s="124"/>
      <c r="K74" s="414"/>
      <c r="L74" s="125"/>
      <c r="M74" s="633"/>
      <c r="N74" s="634"/>
      <c r="O74" s="635"/>
    </row>
    <row r="75" spans="1:16">
      <c r="B75" s="124"/>
      <c r="K75" s="414"/>
      <c r="L75" s="125"/>
      <c r="M75" s="633"/>
      <c r="N75" s="634"/>
      <c r="O75" s="635"/>
    </row>
    <row r="76" spans="1:16">
      <c r="B76" s="124"/>
      <c r="K76" s="414"/>
      <c r="L76" s="125"/>
      <c r="M76" s="633"/>
      <c r="N76" s="634"/>
      <c r="O76" s="635"/>
    </row>
    <row r="77" spans="1:16">
      <c r="B77" s="124"/>
      <c r="K77" s="414"/>
      <c r="L77" s="125"/>
      <c r="M77" s="633"/>
      <c r="N77" s="634"/>
      <c r="O77" s="635"/>
    </row>
    <row r="78" spans="1:16">
      <c r="B78" s="124"/>
      <c r="C78" s="627" t="s">
        <v>3793</v>
      </c>
      <c r="D78" s="628"/>
      <c r="E78" s="628"/>
      <c r="F78" s="628"/>
      <c r="G78" s="628"/>
      <c r="H78" s="628"/>
      <c r="I78" s="643"/>
      <c r="J78" s="643"/>
      <c r="K78" s="628"/>
      <c r="L78" s="125"/>
      <c r="M78" s="633"/>
      <c r="N78" s="634"/>
      <c r="O78" s="635"/>
    </row>
    <row r="79" spans="1:16">
      <c r="B79" s="124"/>
      <c r="K79" s="414"/>
      <c r="L79" s="125"/>
      <c r="M79" s="633"/>
      <c r="N79" s="634"/>
      <c r="O79" s="635"/>
    </row>
    <row r="80" spans="1:16">
      <c r="B80" s="124"/>
      <c r="F80" s="673" t="s">
        <v>3420</v>
      </c>
      <c r="G80" s="674"/>
      <c r="H80" s="675"/>
      <c r="I80" s="188" t="s">
        <v>3419</v>
      </c>
      <c r="J80" s="414"/>
      <c r="L80" s="125"/>
      <c r="M80" s="633"/>
      <c r="N80" s="634"/>
      <c r="O80" s="635"/>
    </row>
    <row r="81" spans="2:15" ht="50">
      <c r="B81" s="181"/>
      <c r="C81" s="130"/>
      <c r="D81" s="130"/>
      <c r="E81" s="117" t="s">
        <v>176</v>
      </c>
      <c r="F81" s="397" t="s">
        <v>3808</v>
      </c>
      <c r="G81" s="397" t="s">
        <v>3809</v>
      </c>
      <c r="H81" s="397" t="s">
        <v>3810</v>
      </c>
      <c r="I81" s="397" t="s">
        <v>3812</v>
      </c>
      <c r="J81" s="397" t="s">
        <v>3811</v>
      </c>
      <c r="K81" s="130"/>
      <c r="L81" s="148"/>
      <c r="M81" s="145"/>
      <c r="O81" s="149"/>
    </row>
    <row r="82" spans="2:15">
      <c r="B82" s="124"/>
      <c r="E82" s="163"/>
      <c r="F82" s="163"/>
      <c r="G82" s="163"/>
      <c r="H82" s="118"/>
      <c r="I82" s="163"/>
      <c r="J82" s="132">
        <f>IFERROR(IF(ISBLANK(H82),I82*'BDD FE'!$C$715*10^-3,'10_Tournées artistiques'!F82*'10_Tournées artistiques'!G82*VLOOKUP('10_Tournées artistiques'!H82,'BDD FE'!$B$708:$C$714,2,FALSE)*10^-3),0)</f>
        <v>0</v>
      </c>
      <c r="L82" s="125"/>
      <c r="M82" s="145"/>
      <c r="O82" s="149"/>
    </row>
    <row r="83" spans="2:15">
      <c r="B83" s="124"/>
      <c r="E83" s="163"/>
      <c r="F83" s="163"/>
      <c r="G83" s="163"/>
      <c r="H83" s="118"/>
      <c r="I83" s="163"/>
      <c r="J83" s="132">
        <f>IFERROR(IF(ISBLANK(H83),I83*'BDD FE'!$C$715*10^-3,'10_Tournées artistiques'!F83*'10_Tournées artistiques'!G83*VLOOKUP('10_Tournées artistiques'!H83,'BDD FE'!$B$708:$C$714,2,FALSE)*10^-3),0)</f>
        <v>0</v>
      </c>
      <c r="L83" s="125"/>
      <c r="M83" s="145"/>
      <c r="O83" s="149"/>
    </row>
    <row r="84" spans="2:15">
      <c r="B84" s="124"/>
      <c r="E84" s="163"/>
      <c r="F84" s="163"/>
      <c r="G84" s="163"/>
      <c r="H84" s="118"/>
      <c r="I84" s="163"/>
      <c r="J84" s="132">
        <f>IFERROR(IF(ISBLANK(H84),I84*'BDD FE'!$C$715*10^-3,'10_Tournées artistiques'!F84*'10_Tournées artistiques'!G84*VLOOKUP('10_Tournées artistiques'!H84,'BDD FE'!$B$708:$C$714,2,FALSE)*10^-3),0)</f>
        <v>0</v>
      </c>
      <c r="L84" s="125"/>
      <c r="M84" s="145"/>
      <c r="O84" s="149"/>
    </row>
    <row r="85" spans="2:15">
      <c r="B85" s="124"/>
      <c r="E85" s="163"/>
      <c r="F85" s="163"/>
      <c r="G85" s="163"/>
      <c r="H85" s="118"/>
      <c r="I85" s="163"/>
      <c r="J85" s="132">
        <f>IFERROR(IF(ISBLANK(H85),I85*'BDD FE'!$C$715*10^-3,'10_Tournées artistiques'!F85*'10_Tournées artistiques'!G85*VLOOKUP('10_Tournées artistiques'!H85,'BDD FE'!$B$708:$C$714,2,FALSE)*10^-3),0)</f>
        <v>0</v>
      </c>
      <c r="L85" s="125"/>
      <c r="M85" s="145"/>
      <c r="O85" s="149"/>
    </row>
    <row r="86" spans="2:15">
      <c r="B86" s="124"/>
      <c r="E86" s="163"/>
      <c r="F86" s="163"/>
      <c r="G86" s="163"/>
      <c r="H86" s="118"/>
      <c r="I86" s="163"/>
      <c r="J86" s="132">
        <f>IFERROR(IF(ISBLANK(H86),I86*'BDD FE'!$C$715*10^-3,'10_Tournées artistiques'!F86*'10_Tournées artistiques'!G86*VLOOKUP('10_Tournées artistiques'!H86,'BDD FE'!$B$708:$C$714,2,FALSE)*10^-3),0)</f>
        <v>0</v>
      </c>
      <c r="L86" s="125"/>
      <c r="M86" s="145"/>
      <c r="O86" s="149"/>
    </row>
    <row r="87" spans="2:15" ht="15" thickBot="1">
      <c r="B87" s="124"/>
      <c r="E87" s="163"/>
      <c r="F87" s="163"/>
      <c r="G87" s="163"/>
      <c r="H87" s="118"/>
      <c r="I87" s="163"/>
      <c r="J87" s="132">
        <f>IFERROR(IF(ISBLANK(H87),I87*'BDD FE'!$C$715*10^-3,'10_Tournées artistiques'!F87*'10_Tournées artistiques'!G87*VLOOKUP('10_Tournées artistiques'!H87,'BDD FE'!$B$708:$C$714,2,FALSE)*10^-3),0)</f>
        <v>0</v>
      </c>
      <c r="L87" s="125"/>
      <c r="M87" s="150"/>
      <c r="N87" s="151"/>
      <c r="O87" s="152"/>
    </row>
    <row r="88" spans="2:15">
      <c r="B88" s="124"/>
      <c r="E88" s="163"/>
      <c r="F88" s="163"/>
      <c r="G88" s="163"/>
      <c r="H88" s="118"/>
      <c r="I88" s="163"/>
      <c r="J88" s="132">
        <f>IFERROR(IF(ISBLANK(H88),I88*'BDD FE'!$C$715*10^-3,'10_Tournées artistiques'!F88*'10_Tournées artistiques'!G88*VLOOKUP('10_Tournées artistiques'!H88,'BDD FE'!$B$708:$C$714,2,FALSE)*10^-3),0)</f>
        <v>0</v>
      </c>
      <c r="L88" s="125"/>
      <c r="M88" s="111"/>
      <c r="N88" s="111"/>
      <c r="O88" s="111"/>
    </row>
    <row r="89" spans="2:15">
      <c r="B89" s="124"/>
      <c r="E89" s="163"/>
      <c r="F89" s="163"/>
      <c r="G89" s="163"/>
      <c r="H89" s="118"/>
      <c r="I89" s="163"/>
      <c r="J89" s="132">
        <f>IFERROR(IF(ISBLANK(H89),I89*'BDD FE'!$C$715*10^-3,'10_Tournées artistiques'!F89*'10_Tournées artistiques'!G89*VLOOKUP('10_Tournées artistiques'!H89,'BDD FE'!$B$708:$C$714,2,FALSE)*10^-3),0)</f>
        <v>0</v>
      </c>
      <c r="L89" s="125"/>
      <c r="M89" s="111"/>
      <c r="N89" s="111"/>
      <c r="O89" s="111"/>
    </row>
    <row r="90" spans="2:15" hidden="1">
      <c r="B90" s="124"/>
      <c r="E90" s="163"/>
      <c r="F90" s="163"/>
      <c r="G90" s="163"/>
      <c r="H90" s="118"/>
      <c r="I90" s="163"/>
      <c r="J90" s="132">
        <f>IFERROR(IF(ISBLANK(H90),I90*'BDD FE'!$C$715*10^-3,'10_Tournées artistiques'!F90*'10_Tournées artistiques'!G90*VLOOKUP('10_Tournées artistiques'!H90,'BDD FE'!$B$708:$C$714,2,FALSE)*10^-3),0)</f>
        <v>0</v>
      </c>
      <c r="L90" s="125"/>
      <c r="M90" s="111"/>
      <c r="N90" s="111"/>
      <c r="O90" s="111"/>
    </row>
    <row r="91" spans="2:15" hidden="1">
      <c r="B91" s="124"/>
      <c r="E91" s="163"/>
      <c r="F91" s="163"/>
      <c r="G91" s="163"/>
      <c r="H91" s="118"/>
      <c r="I91" s="163"/>
      <c r="J91" s="132">
        <f>IFERROR(IF(ISBLANK(H91),I91*'BDD FE'!$C$715*10^-3,'10_Tournées artistiques'!F91*'10_Tournées artistiques'!G91*VLOOKUP('10_Tournées artistiques'!H91,'BDD FE'!$B$708:$C$714,2,FALSE)*10^-3),0)</f>
        <v>0</v>
      </c>
      <c r="L91" s="125"/>
      <c r="M91" s="111"/>
      <c r="N91" s="111"/>
      <c r="O91" s="111"/>
    </row>
    <row r="92" spans="2:15" hidden="1">
      <c r="B92" s="124"/>
      <c r="J92" s="123">
        <f>SUM(J82:J91)</f>
        <v>0</v>
      </c>
      <c r="L92" s="125"/>
      <c r="M92" s="111"/>
      <c r="N92" s="111"/>
      <c r="O92" s="111"/>
    </row>
    <row r="93" spans="2:15">
      <c r="B93" s="124"/>
      <c r="K93" s="414"/>
      <c r="L93" s="125"/>
    </row>
    <row r="94" spans="2:15">
      <c r="B94" s="124"/>
      <c r="K94" s="414"/>
      <c r="L94" s="125"/>
    </row>
    <row r="95" spans="2:15">
      <c r="B95" s="124"/>
      <c r="K95" s="414"/>
      <c r="L95" s="125"/>
    </row>
    <row r="96" spans="2:15">
      <c r="B96" s="124"/>
      <c r="K96" s="414"/>
      <c r="L96" s="125"/>
    </row>
    <row r="97" spans="2:12">
      <c r="B97" s="124"/>
      <c r="K97" s="414"/>
      <c r="L97" s="125"/>
    </row>
    <row r="98" spans="2:12">
      <c r="B98" s="124"/>
      <c r="K98" s="414"/>
      <c r="L98" s="125"/>
    </row>
    <row r="99" spans="2:12">
      <c r="B99" s="124"/>
      <c r="K99" s="414"/>
      <c r="L99" s="125"/>
    </row>
    <row r="100" spans="2:12" ht="15" thickBot="1">
      <c r="B100" s="150"/>
      <c r="C100" s="137"/>
      <c r="D100" s="137"/>
      <c r="E100" s="137"/>
      <c r="F100" s="137"/>
      <c r="G100" s="137"/>
      <c r="H100" s="137"/>
      <c r="I100" s="137"/>
      <c r="J100" s="137"/>
      <c r="K100" s="137"/>
      <c r="L100" s="152"/>
    </row>
    <row r="101" spans="2:12">
      <c r="B101"/>
      <c r="L101"/>
    </row>
    <row r="102" spans="2:12" hidden="1">
      <c r="B102" s="124"/>
      <c r="L102" s="125"/>
    </row>
    <row r="103" spans="2:12" ht="15" hidden="1" thickBot="1">
      <c r="B103" s="136"/>
      <c r="C103" s="137"/>
      <c r="D103" s="137"/>
      <c r="E103" s="137"/>
      <c r="F103" s="137"/>
      <c r="G103" s="137"/>
      <c r="H103" s="137"/>
      <c r="I103" s="137"/>
      <c r="J103" s="137"/>
      <c r="K103" s="137"/>
      <c r="L103" s="138"/>
    </row>
  </sheetData>
  <protectedRanges>
    <protectedRange sqref="E82:I91 E55:J70" name="Plage1"/>
    <protectedRange sqref="M3 M8:M11 M28:M41" name="Plage1_1"/>
    <protectedRange sqref="F34:G42 K31:K32 C34:C42" name="Plage1_3"/>
    <protectedRange sqref="H34:H42 D34:E42" name="Plage1_2_2"/>
    <protectedRange sqref="I34:I42" name="Plage1_2_1_1"/>
  </protectedRanges>
  <mergeCells count="18">
    <mergeCell ref="C49:K49"/>
    <mergeCell ref="M27:O27"/>
    <mergeCell ref="M28:O80"/>
    <mergeCell ref="C78:K78"/>
    <mergeCell ref="C14:K29"/>
    <mergeCell ref="F80:H80"/>
    <mergeCell ref="F31:G32"/>
    <mergeCell ref="H31:J31"/>
    <mergeCell ref="I32:J32"/>
    <mergeCell ref="A1:A2"/>
    <mergeCell ref="M1:O1"/>
    <mergeCell ref="B1:L1"/>
    <mergeCell ref="C13:K13"/>
    <mergeCell ref="I30:J30"/>
    <mergeCell ref="C4:K11"/>
    <mergeCell ref="M2:O2"/>
    <mergeCell ref="M3:O6"/>
    <mergeCell ref="M8:O26"/>
  </mergeCells>
  <dataValidations count="1">
    <dataValidation type="list" allowBlank="1" showInputMessage="1" showErrorMessage="1" sqref="E34:E42 G55:G70" xr:uid="{C31FA6CB-8061-47E6-8F58-91F1AE037802}">
      <formula1>"Oui,Non"</formula1>
    </dataValidation>
  </dataValidations>
  <hyperlinks>
    <hyperlink ref="A6" location="'1_Votre Structure'!A1" display="Votre structure" xr:uid="{D1DD1B1D-4F31-4158-96FA-293AD07C9E58}"/>
    <hyperlink ref="A7" location="'2_ConsoEnergieEau'!A1" display="Consommation d'énergie et d'eau" xr:uid="{F195509A-5E50-4A13-8048-F6625B5CFEE8}"/>
    <hyperlink ref="A8" location="'3_Climatisation'!A1" display="Climatisation" xr:uid="{F4733923-BB93-46BA-9F1F-410CD1D98BAA}"/>
    <hyperlink ref="A12" location="'7_DéplacementsProfessionnels'!A1" display="Déplacements professionnels" xr:uid="{06E760DF-EF4F-49F1-A683-4105FC4F8305}"/>
    <hyperlink ref="A13" location="'8_DéplacementsSalariés'!A1" display="Déplacements des salariés" xr:uid="{5C55E56F-193E-4187-AB12-CCF5D016685A}"/>
    <hyperlink ref="A17" location="'12_Equipements'!A1" display="Equipements" xr:uid="{99F9C5E0-AA49-4A2F-94A4-E24FE659F413}"/>
    <hyperlink ref="A10" location="'5_Déchets'!A1" display="Déchets" xr:uid="{5DF30308-2D80-4E85-988E-F75B0340AD4A}"/>
    <hyperlink ref="A22" location="'17_TransportMatériel'!A1" display="Transport de matériel et d'œuvres" xr:uid="{AE70FF7D-FDF4-416D-8472-D9A8B1A60FB7}"/>
    <hyperlink ref="A23" location="'18_ImpressionsComPapier'!A1" display="Impression et communication papier" xr:uid="{B39DF0A8-3FD4-4A40-BADA-641831931487}"/>
    <hyperlink ref="A24" location="'19_ComDigitale'!A1" display="Communication digitale" xr:uid="{A09534E7-2C0F-499D-AAD5-EFCD002EAAB4}"/>
    <hyperlink ref="A25" location="'20_Billetterie'!A1" display="Billetterie" xr:uid="{B6225D5F-6911-46FC-834E-EBF1B6DAC2C9}"/>
    <hyperlink ref="A20" location="'15_Alimentation'!A1" display="Alimentation" xr:uid="{D0F475C0-E2F4-46C2-80D1-4BDAA7E5C93F}"/>
    <hyperlink ref="A14" location="'9_DéplacementsVisiteurs'!A1" display="Déplacements des visiteurs" xr:uid="{EA977963-3A94-4B0D-A57A-647CC149D3D0}"/>
    <hyperlink ref="A15" location="'10_Tournées artistiques'!A1" display="Tournées artistiques" xr:uid="{D0E16C86-D28D-4727-A600-D78841435B90}"/>
    <hyperlink ref="A16" location="'11_Artistes invité.e.s'!A1" display="Artistes invité.e.s" xr:uid="{874A43A0-A609-4F51-AFEC-A3E158DD1FE9}"/>
    <hyperlink ref="A9" location="'4_Bâtiments,travaux, agcmt'!A1" display="Bâtiments, travaux et agencements" xr:uid="{20A9F8B3-EE6C-4EB1-B6A8-8641903839F7}"/>
    <hyperlink ref="A18" location="'13_Achats - Documents papiers'!A1" display="Achats - Documents papiers" xr:uid="{16B6895A-FB15-4AF0-A207-C003C53478F2}"/>
    <hyperlink ref="A21" location="'16_Autres achats (€)'!A1" display="Autres achats" xr:uid="{9150CE62-C667-4D74-B7E4-5346BC639A96}"/>
    <hyperlink ref="A19" location="'14_Décors'!A1" display="Décors" xr:uid="{959CCE23-DC1A-448D-9F20-C23063359524}"/>
    <hyperlink ref="A11" location="'6_DéplacementsPrestations'!A1" display="Déplacements de prestations" xr:uid="{BE2F9D71-E248-40D5-8F75-042BFA69A3B1}"/>
  </hyperlink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EEA13D9-3C0F-4761-93A1-DD2918844AF4}">
          <x14:formula1>
            <xm:f>'BDD FE'!$B$708:$B$714</xm:f>
          </x14:formula1>
          <xm:sqref>H82:H91</xm:sqref>
        </x14:dataValidation>
        <x14:dataValidation type="list" allowBlank="1" showInputMessage="1" showErrorMessage="1" xr:uid="{61B91DF9-E72B-4B31-8A63-EE0EFB7BBC78}">
          <x14:formula1>
            <xm:f>'BDD FE'!$B$109:$B$122</xm:f>
          </x14:formula1>
          <xm:sqref>F34:F42</xm:sqref>
        </x14:dataValidation>
        <x14:dataValidation type="list" allowBlank="1" showInputMessage="1" showErrorMessage="1" xr:uid="{00000000-0002-0000-1100-000000000000}">
          <x14:formula1>
            <xm:f>'BDD FE'!$B$386:$B$421</xm:f>
          </x14:formula1>
          <xm:sqref>F55:F70</xm:sqref>
        </x14:dataValidation>
        <x14:dataValidation type="list" allowBlank="1" showInputMessage="1" showErrorMessage="1" xr:uid="{654E1CA2-AB69-4845-BD48-C0796FCFF0D4}">
          <x14:formula1>
            <xm:f>'BDD FE'!$B$130:$B$148</xm:f>
          </x14:formula1>
          <xm:sqref>D34:D42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8">
    <tabColor theme="6" tint="0.79998168889431442"/>
  </sheetPr>
  <dimension ref="A1:W82"/>
  <sheetViews>
    <sheetView showGridLines="0" topLeftCell="B1" zoomScale="68" zoomScaleNormal="70" workbookViewId="0">
      <selection activeCell="E17" sqref="E17"/>
    </sheetView>
  </sheetViews>
  <sheetFormatPr baseColWidth="10" defaultColWidth="0" defaultRowHeight="14.5"/>
  <cols>
    <col min="1" max="1" width="25.81640625" bestFit="1" customWidth="1"/>
    <col min="2" max="2" width="7.6328125" style="111" customWidth="1"/>
    <col min="3" max="15" width="19.36328125" style="111" customWidth="1"/>
    <col min="16" max="16" width="9.1796875" style="111" customWidth="1"/>
    <col min="17" max="19" width="11.1796875" customWidth="1"/>
    <col min="20" max="20" width="11.453125" style="112" customWidth="1"/>
    <col min="21" max="23" width="5.81640625" style="111" hidden="1" customWidth="1"/>
    <col min="24" max="16384" width="11.453125" style="111" hidden="1"/>
  </cols>
  <sheetData>
    <row r="1" spans="1:19" ht="21.25" customHeight="1" thickBot="1">
      <c r="A1" s="647" t="s">
        <v>3359</v>
      </c>
      <c r="B1" s="649" t="s">
        <v>3956</v>
      </c>
      <c r="C1" s="572"/>
      <c r="D1" s="572"/>
      <c r="E1" s="572"/>
      <c r="F1" s="572"/>
      <c r="G1" s="572"/>
      <c r="H1" s="572"/>
      <c r="I1" s="572"/>
      <c r="J1" s="572"/>
      <c r="K1" s="572"/>
      <c r="L1" s="572"/>
      <c r="M1" s="572"/>
      <c r="N1" s="572"/>
      <c r="O1" s="572"/>
      <c r="P1" s="573"/>
      <c r="Q1" s="656" t="s">
        <v>3391</v>
      </c>
      <c r="R1" s="657"/>
      <c r="S1" s="658"/>
    </row>
    <row r="2" spans="1:19" ht="18" thickBot="1">
      <c r="A2" s="648"/>
      <c r="B2" s="124"/>
      <c r="C2" s="237"/>
      <c r="I2" s="504">
        <f>O27+L48</f>
        <v>0</v>
      </c>
      <c r="P2" s="125"/>
      <c r="Q2" s="613" t="s">
        <v>3457</v>
      </c>
      <c r="R2" s="614"/>
      <c r="S2" s="615"/>
    </row>
    <row r="3" spans="1:19">
      <c r="A3" s="338"/>
      <c r="B3" s="124"/>
      <c r="C3" s="167"/>
      <c r="P3" s="125"/>
      <c r="Q3" s="633"/>
      <c r="R3" s="634"/>
      <c r="S3" s="635"/>
    </row>
    <row r="4" spans="1:19" ht="14.4" customHeight="1">
      <c r="A4" s="338"/>
      <c r="B4" s="124"/>
      <c r="C4" s="677" t="s">
        <v>3945</v>
      </c>
      <c r="D4" s="629"/>
      <c r="E4" s="629"/>
      <c r="F4" s="629"/>
      <c r="G4" s="629"/>
      <c r="H4" s="629"/>
      <c r="I4" s="629"/>
      <c r="J4" s="629"/>
      <c r="K4" s="629"/>
      <c r="L4" s="629"/>
      <c r="M4" s="629"/>
      <c r="N4" s="629"/>
      <c r="O4" s="629"/>
      <c r="P4" s="125"/>
      <c r="Q4" s="633"/>
      <c r="R4" s="634"/>
      <c r="S4" s="635"/>
    </row>
    <row r="5" spans="1:19" ht="14.4" customHeight="1">
      <c r="A5" s="338"/>
      <c r="B5" s="124"/>
      <c r="C5" s="629"/>
      <c r="D5" s="629"/>
      <c r="E5" s="629"/>
      <c r="F5" s="629"/>
      <c r="G5" s="629"/>
      <c r="H5" s="629"/>
      <c r="I5" s="629"/>
      <c r="J5" s="629"/>
      <c r="K5" s="629"/>
      <c r="L5" s="629"/>
      <c r="M5" s="629"/>
      <c r="N5" s="629"/>
      <c r="O5" s="629"/>
      <c r="P5" s="125"/>
      <c r="Q5" s="633"/>
      <c r="R5" s="634"/>
      <c r="S5" s="635"/>
    </row>
    <row r="6" spans="1:19" ht="63" customHeight="1">
      <c r="A6" s="341" t="s">
        <v>3357</v>
      </c>
      <c r="B6" s="124"/>
      <c r="C6" s="629"/>
      <c r="D6" s="629"/>
      <c r="E6" s="629"/>
      <c r="F6" s="629"/>
      <c r="G6" s="629"/>
      <c r="H6" s="629"/>
      <c r="I6" s="629"/>
      <c r="J6" s="629"/>
      <c r="K6" s="629"/>
      <c r="L6" s="629"/>
      <c r="M6" s="629"/>
      <c r="N6" s="629"/>
      <c r="O6" s="629"/>
      <c r="P6" s="125"/>
      <c r="Q6" s="639"/>
      <c r="R6" s="640"/>
      <c r="S6" s="641"/>
    </row>
    <row r="7" spans="1:19" ht="30" customHeight="1">
      <c r="A7" s="339" t="s">
        <v>3434</v>
      </c>
      <c r="B7" s="124"/>
      <c r="C7" s="629"/>
      <c r="D7" s="629"/>
      <c r="E7" s="629"/>
      <c r="F7" s="629"/>
      <c r="G7" s="629"/>
      <c r="H7" s="629"/>
      <c r="I7" s="629"/>
      <c r="J7" s="629"/>
      <c r="K7" s="629"/>
      <c r="L7" s="629"/>
      <c r="M7" s="629"/>
      <c r="N7" s="629"/>
      <c r="O7" s="629"/>
      <c r="P7" s="125"/>
      <c r="Q7" s="246" t="s">
        <v>3458</v>
      </c>
      <c r="R7" s="343"/>
      <c r="S7" s="344"/>
    </row>
    <row r="8" spans="1:19" ht="30" customHeight="1">
      <c r="A8" s="339" t="s">
        <v>7</v>
      </c>
      <c r="B8" s="124"/>
      <c r="C8" s="629"/>
      <c r="D8" s="629"/>
      <c r="E8" s="629"/>
      <c r="F8" s="629"/>
      <c r="G8" s="629"/>
      <c r="H8" s="629"/>
      <c r="I8" s="629"/>
      <c r="J8" s="629"/>
      <c r="K8" s="629"/>
      <c r="L8" s="629"/>
      <c r="M8" s="629"/>
      <c r="N8" s="629"/>
      <c r="O8" s="629"/>
      <c r="P8" s="125"/>
      <c r="Q8" s="633"/>
      <c r="R8" s="634"/>
      <c r="S8" s="635"/>
    </row>
    <row r="9" spans="1:19" ht="30" customHeight="1">
      <c r="A9" s="339" t="s">
        <v>3427</v>
      </c>
      <c r="B9" s="124"/>
      <c r="C9" s="300"/>
      <c r="D9" s="300"/>
      <c r="E9" s="300"/>
      <c r="F9" s="300"/>
      <c r="G9" s="300"/>
      <c r="H9" s="300"/>
      <c r="I9" s="300"/>
      <c r="J9" s="300"/>
      <c r="K9" s="300"/>
      <c r="L9" s="300"/>
      <c r="M9" s="300"/>
      <c r="N9" s="300"/>
      <c r="O9" s="300"/>
      <c r="P9" s="125"/>
      <c r="Q9" s="633"/>
      <c r="R9" s="634"/>
      <c r="S9" s="635"/>
    </row>
    <row r="10" spans="1:19" ht="16.75" customHeight="1">
      <c r="A10" s="340" t="s">
        <v>10</v>
      </c>
      <c r="B10" s="124"/>
      <c r="C10" s="300"/>
      <c r="D10" s="300"/>
      <c r="E10" s="300"/>
      <c r="F10" s="300"/>
      <c r="G10" s="300"/>
      <c r="H10" s="300"/>
      <c r="I10" s="300"/>
      <c r="J10" s="300"/>
      <c r="K10" s="300"/>
      <c r="L10" s="300"/>
      <c r="M10" s="300"/>
      <c r="N10" s="300"/>
      <c r="O10" s="300"/>
      <c r="P10" s="125"/>
      <c r="Q10" s="633"/>
      <c r="R10" s="634"/>
      <c r="S10" s="635"/>
    </row>
    <row r="11" spans="1:19" ht="16.75" customHeight="1">
      <c r="A11" s="340" t="s">
        <v>3645</v>
      </c>
      <c r="B11" s="124"/>
      <c r="C11" s="642" t="s">
        <v>3813</v>
      </c>
      <c r="D11" s="643"/>
      <c r="E11" s="643"/>
      <c r="F11" s="643"/>
      <c r="G11" s="643"/>
      <c r="H11" s="643"/>
      <c r="I11" s="643"/>
      <c r="J11" s="643"/>
      <c r="K11" s="643"/>
      <c r="L11" s="643"/>
      <c r="M11" s="643"/>
      <c r="N11" s="643"/>
      <c r="O11" s="643"/>
      <c r="P11" s="125"/>
      <c r="Q11" s="633"/>
      <c r="R11" s="634"/>
      <c r="S11" s="635"/>
    </row>
    <row r="12" spans="1:19" ht="12.65" customHeight="1">
      <c r="A12" s="339" t="s">
        <v>3431</v>
      </c>
      <c r="B12" s="124"/>
      <c r="C12" s="167"/>
      <c r="D12" s="290"/>
      <c r="P12" s="125"/>
      <c r="Q12" s="633"/>
      <c r="R12" s="634"/>
      <c r="S12" s="635"/>
    </row>
    <row r="13" spans="1:19" ht="37.75" customHeight="1">
      <c r="A13" s="340" t="s">
        <v>5</v>
      </c>
      <c r="B13" s="124"/>
      <c r="C13" s="130"/>
      <c r="D13" s="130"/>
      <c r="E13" s="130"/>
      <c r="F13" s="676" t="s">
        <v>177</v>
      </c>
      <c r="G13" s="676"/>
      <c r="H13" s="676"/>
      <c r="I13" s="676" t="s">
        <v>178</v>
      </c>
      <c r="J13" s="676"/>
      <c r="K13" s="676"/>
      <c r="L13" s="676" t="s">
        <v>179</v>
      </c>
      <c r="M13" s="676"/>
      <c r="N13" s="676"/>
      <c r="O13" s="130"/>
      <c r="P13" s="125"/>
      <c r="Q13" s="633"/>
      <c r="R13" s="634"/>
      <c r="S13" s="635"/>
    </row>
    <row r="14" spans="1:19" ht="12.9" customHeight="1">
      <c r="A14" s="339" t="s">
        <v>6</v>
      </c>
      <c r="B14" s="124"/>
      <c r="C14" s="289" t="s">
        <v>3409</v>
      </c>
      <c r="D14" s="397" t="s">
        <v>3673</v>
      </c>
      <c r="E14" s="192" t="s">
        <v>180</v>
      </c>
      <c r="F14" s="117" t="s">
        <v>3384</v>
      </c>
      <c r="G14" s="117" t="s">
        <v>181</v>
      </c>
      <c r="H14" s="117" t="s">
        <v>80</v>
      </c>
      <c r="I14" s="117" t="s">
        <v>3385</v>
      </c>
      <c r="J14" s="117" t="s">
        <v>181</v>
      </c>
      <c r="K14" s="117" t="s">
        <v>80</v>
      </c>
      <c r="L14" s="117" t="s">
        <v>182</v>
      </c>
      <c r="M14" s="117" t="s">
        <v>181</v>
      </c>
      <c r="N14" s="117" t="s">
        <v>80</v>
      </c>
      <c r="O14" s="193" t="s">
        <v>183</v>
      </c>
      <c r="P14" s="125"/>
      <c r="Q14" s="633"/>
      <c r="R14" s="634"/>
      <c r="S14" s="635"/>
    </row>
    <row r="15" spans="1:19" ht="12.9" customHeight="1">
      <c r="A15" s="340" t="s">
        <v>12</v>
      </c>
      <c r="B15" s="124"/>
      <c r="C15" s="488"/>
      <c r="D15" s="163"/>
      <c r="E15" s="238"/>
      <c r="F15" s="163"/>
      <c r="G15" s="118"/>
      <c r="H15" s="123">
        <f>IFERROR(IF(OR(G15="’BDD FE’!$A$114",G15="’BDD FE’!$A$115",G15="’BDD FE’!$A$116",G15="’BDD FE’!$A$129",G15="’BDD FE’!$A$130",G15="’BDD FE’!$A$131",G15="’BDD FE’!$A$132"),F15*VLOOKUP(G15,'BDD FE'!$B$130:$H$148,6,0)*10^-3,F15*VLOOKUP(G15,'BDD FE'!$B$130:$H$148,6,0)*10^-3*$D15),0)</f>
        <v>0</v>
      </c>
      <c r="I15" s="163"/>
      <c r="J15" s="118"/>
      <c r="K15" s="123">
        <f>IFERROR(IF(OR(J15="’BDD FE’!$A$114",J15="’BDD FE’!$A$115",J15="’BDD FE’!$A$116",J15="’BDD FE’!$A$129",J15="’BDD FE’!$A$130",J15="’BDD FE’!$A$131",J15="’BDD FE’!$A$132"),I15*VLOOKUP(J15,'BDD FE'!$B$130:$H$148,6,0)*10^-3,I15*VLOOKUP(J15,'BDD FE'!$B$130:$H$148,6,0)*10^-3*$D15),0)</f>
        <v>0</v>
      </c>
      <c r="L15" s="163"/>
      <c r="M15" s="118"/>
      <c r="N15" s="123">
        <f>IFERROR(IF(OR(M15="’BDD FE’!$A$114",M15="’BDD FE’!$A$115",M15="’BDD FE’!$A$116",M15="’BDD FE’!$A$129",M15="’BDD FE’!$A$130",M15="’BDD FE’!$A$131",M15="’BDD FE’!$A$132"),L15*VLOOKUP(M15,'BDD FE'!$B$130:$H$148,6,0)*10^-3,L15*VLOOKUP(M15,'BDD FE'!$B$130:$H$148,6,0)*10^-3*$D15),0)</f>
        <v>0</v>
      </c>
      <c r="O15" s="239">
        <f>IFERROR((H15+K15+N15)/E15,0)</f>
        <v>0</v>
      </c>
      <c r="P15" s="125"/>
      <c r="Q15" s="633"/>
      <c r="R15" s="634"/>
      <c r="S15" s="635"/>
    </row>
    <row r="16" spans="1:19" ht="12.9" customHeight="1">
      <c r="A16" s="340" t="s">
        <v>14</v>
      </c>
      <c r="B16" s="124"/>
      <c r="C16" s="163"/>
      <c r="D16" s="163"/>
      <c r="E16" s="238"/>
      <c r="F16" s="163"/>
      <c r="G16" s="118"/>
      <c r="H16" s="123">
        <f>IFERROR(IF(OR(G16="’BDD FE’!$A$114",G16="’BDD FE’!$A$115",G16="’BDD FE’!$A$116",G16="’BDD FE’!$A$129",G16="’BDD FE’!$A$130",G16="’BDD FE’!$A$131",G16="’BDD FE’!$A$132"),F16*VLOOKUP(G16,'BDD FE'!$B$130:$H$148,6,0)*10^-3,F16*VLOOKUP(G16,'BDD FE'!$B$130:$H$148,6,0)*10^-3*$D16),0)</f>
        <v>0</v>
      </c>
      <c r="I16" s="163"/>
      <c r="J16" s="118"/>
      <c r="K16" s="123">
        <f>IFERROR(IF(OR(J16="’BDD FE’!$A$114",J16="’BDD FE’!$A$115",J16="’BDD FE’!$A$116",J16="’BDD FE’!$A$129",J16="’BDD FE’!$A$130",J16="’BDD FE’!$A$131",J16="’BDD FE’!$A$132"),I16*VLOOKUP(J16,'BDD FE'!$B$130:$H$148,6,0)*10^-3,I16*VLOOKUP(J16,'BDD FE'!$B$130:$H$148,6,0)*10^-3*$D16),0)</f>
        <v>0</v>
      </c>
      <c r="L16" s="163"/>
      <c r="M16" s="118"/>
      <c r="N16" s="123">
        <f>IFERROR(IF(OR(M16="’BDD FE’!$A$114",M16="’BDD FE’!$A$115",M16="’BDD FE’!$A$116",M16="’BDD FE’!$A$129",M16="’BDD FE’!$A$130",M16="’BDD FE’!$A$131",M16="’BDD FE’!$A$132"),L16*VLOOKUP(M16,'BDD FE'!$B$130:$H$148,6,0)*10^-3,L16*VLOOKUP(M16,'BDD FE'!$B$130:$H$148,6,0)*10^-3*$D16),0)</f>
        <v>0</v>
      </c>
      <c r="O16" s="239">
        <f t="shared" ref="O16:O26" si="0">IFERROR((H16+K16+N16)/E16,0)</f>
        <v>0</v>
      </c>
      <c r="P16" s="125"/>
      <c r="Q16" s="639"/>
      <c r="R16" s="640"/>
      <c r="S16" s="641"/>
    </row>
    <row r="17" spans="1:19" ht="12.9" customHeight="1">
      <c r="A17" s="339" t="s">
        <v>3426</v>
      </c>
      <c r="B17" s="124"/>
      <c r="C17" s="163"/>
      <c r="D17" s="163"/>
      <c r="E17" s="238"/>
      <c r="F17" s="163"/>
      <c r="G17" s="118"/>
      <c r="H17" s="123">
        <f>IFERROR(IF(OR(G17="’BDD FE’!$A$114",G17="’BDD FE’!$A$115",G17="’BDD FE’!$A$116",G17="’BDD FE’!$A$129",G17="’BDD FE’!$A$130",G17="’BDD FE’!$A$131",G17="’BDD FE’!$A$132"),F17*VLOOKUP(G17,'BDD FE'!$B$130:$H$148,6,0)*10^-3,F17*VLOOKUP(G17,'BDD FE'!$B$130:$H$148,6,0)*10^-3*$D17),0)</f>
        <v>0</v>
      </c>
      <c r="I17" s="163"/>
      <c r="J17" s="118"/>
      <c r="K17" s="123">
        <f>IFERROR(IF(OR(J17="’BDD FE’!$A$114",J17="’BDD FE’!$A$115",J17="’BDD FE’!$A$116",J17="’BDD FE’!$A$129",J17="’BDD FE’!$A$130",J17="’BDD FE’!$A$131",J17="’BDD FE’!$A$132"),I17*VLOOKUP(J17,'BDD FE'!$B$130:$H$148,6,0)*10^-3,I17*VLOOKUP(J17,'BDD FE'!$B$130:$H$148,6,0)*10^-3*$D17),0)</f>
        <v>0</v>
      </c>
      <c r="L17" s="163"/>
      <c r="M17" s="118"/>
      <c r="N17" s="123">
        <f>IFERROR(IF(OR(M17="’BDD FE’!$A$114",M17="’BDD FE’!$A$115",M17="’BDD FE’!$A$116",M17="’BDD FE’!$A$129",M17="’BDD FE’!$A$130",M17="’BDD FE’!$A$131",M17="’BDD FE’!$A$132"),L17*VLOOKUP(M17,'BDD FE'!$B$130:$H$148,6,0)*10^-3,L17*VLOOKUP(M17,'BDD FE'!$B$130:$H$148,6,0)*10^-3*$D17),0)</f>
        <v>0</v>
      </c>
      <c r="O17" s="239">
        <f t="shared" si="0"/>
        <v>0</v>
      </c>
      <c r="P17" s="125"/>
      <c r="Q17" s="613" t="s">
        <v>3459</v>
      </c>
      <c r="R17" s="614"/>
      <c r="S17" s="615"/>
    </row>
    <row r="18" spans="1:19" ht="12.9" customHeight="1">
      <c r="A18" s="340" t="s">
        <v>3918</v>
      </c>
      <c r="B18" s="124"/>
      <c r="C18" s="163"/>
      <c r="D18" s="163"/>
      <c r="E18" s="238"/>
      <c r="F18" s="163"/>
      <c r="G18" s="118"/>
      <c r="H18" s="123">
        <f>IFERROR(IF(OR(G18="’BDD FE’!$A$114",G18="’BDD FE’!$A$115",G18="’BDD FE’!$A$116",G18="’BDD FE’!$A$129",G18="’BDD FE’!$A$130",G18="’BDD FE’!$A$131",G18="’BDD FE’!$A$132"),F18*VLOOKUP(G18,'BDD FE'!$B$130:$H$148,6,0)*10^-3,F18*VLOOKUP(G18,'BDD FE'!$B$130:$H$148,6,0)*10^-3*$D18),0)</f>
        <v>0</v>
      </c>
      <c r="I18" s="163"/>
      <c r="J18" s="118"/>
      <c r="K18" s="123">
        <f>IFERROR(IF(OR(J18="’BDD FE’!$A$114",J18="’BDD FE’!$A$115",J18="’BDD FE’!$A$116",J18="’BDD FE’!$A$129",J18="’BDD FE’!$A$130",J18="’BDD FE’!$A$131",J18="’BDD FE’!$A$132"),I18*VLOOKUP(J18,'BDD FE'!$B$130:$H$148,6,0)*10^-3,I18*VLOOKUP(J18,'BDD FE'!$B$130:$H$148,6,0)*10^-3*$D18),0)</f>
        <v>0</v>
      </c>
      <c r="L18" s="163"/>
      <c r="M18" s="118"/>
      <c r="N18" s="123">
        <f>IFERROR(IF(OR(M18="’BDD FE’!$A$114",M18="’BDD FE’!$A$115",M18="’BDD FE’!$A$116",M18="’BDD FE’!$A$129",M18="’BDD FE’!$A$130",M18="’BDD FE’!$A$131",M18="’BDD FE’!$A$132"),L18*VLOOKUP(M18,'BDD FE'!$B$130:$H$148,6,0)*10^-3,L18*VLOOKUP(M18,'BDD FE'!$B$130:$H$148,6,0)*10^-3*$D18),0)</f>
        <v>0</v>
      </c>
      <c r="O18" s="239">
        <f t="shared" si="0"/>
        <v>0</v>
      </c>
      <c r="P18" s="125"/>
      <c r="Q18" s="633"/>
      <c r="R18" s="634"/>
      <c r="S18" s="635"/>
    </row>
    <row r="19" spans="1:19" ht="12.9" customHeight="1">
      <c r="A19" s="340" t="s">
        <v>3436</v>
      </c>
      <c r="B19" s="124"/>
      <c r="C19" s="163"/>
      <c r="D19" s="163"/>
      <c r="E19" s="238"/>
      <c r="F19" s="163"/>
      <c r="G19" s="118"/>
      <c r="H19" s="123">
        <f>IFERROR(IF(OR(G19="’BDD FE’!$A$114",G19="’BDD FE’!$A$115",G19="’BDD FE’!$A$116",G19="’BDD FE’!$A$129",G19="’BDD FE’!$A$130",G19="’BDD FE’!$A$131",G19="’BDD FE’!$A$132"),F19*VLOOKUP(G19,'BDD FE'!$B$130:$H$148,6,0)*10^-3,F19*VLOOKUP(G19,'BDD FE'!$B$130:$H$148,6,0)*10^-3*$D19),0)</f>
        <v>0</v>
      </c>
      <c r="I19" s="163"/>
      <c r="J19" s="118"/>
      <c r="K19" s="123">
        <f>IFERROR(IF(OR(J19="’BDD FE’!$A$114",J19="’BDD FE’!$A$115",J19="’BDD FE’!$A$116",J19="’BDD FE’!$A$129",J19="’BDD FE’!$A$130",J19="’BDD FE’!$A$131",J19="’BDD FE’!$A$132"),I19*VLOOKUP(J19,'BDD FE'!$B$130:$H$148,6,0)*10^-3,I19*VLOOKUP(J19,'BDD FE'!$B$130:$H$148,6,0)*10^-3*$D19),0)</f>
        <v>0</v>
      </c>
      <c r="L19" s="163"/>
      <c r="M19" s="118"/>
      <c r="N19" s="123">
        <f>IFERROR(IF(OR(M19="’BDD FE’!$A$114",M19="’BDD FE’!$A$115",M19="’BDD FE’!$A$116",M19="’BDD FE’!$A$129",M19="’BDD FE’!$A$130",M19="’BDD FE’!$A$131",M19="’BDD FE’!$A$132"),L19*VLOOKUP(M19,'BDD FE'!$B$130:$H$148,6,0)*10^-3,L19*VLOOKUP(M19,'BDD FE'!$B$130:$H$148,6,0)*10^-3*$D19),0)</f>
        <v>0</v>
      </c>
      <c r="O19" s="239">
        <f t="shared" si="0"/>
        <v>0</v>
      </c>
      <c r="P19" s="125"/>
      <c r="Q19" s="633"/>
      <c r="R19" s="634"/>
      <c r="S19" s="635"/>
    </row>
    <row r="20" spans="1:19" ht="12.9" customHeight="1">
      <c r="A20" s="340" t="s">
        <v>3378</v>
      </c>
      <c r="B20" s="124"/>
      <c r="C20" s="163"/>
      <c r="D20" s="163"/>
      <c r="E20" s="238"/>
      <c r="F20" s="163"/>
      <c r="G20" s="118"/>
      <c r="H20" s="123">
        <f>IFERROR(IF(OR(G20="’BDD FE’!$A$114",G20="’BDD FE’!$A$115",G20="’BDD FE’!$A$116",G20="’BDD FE’!$A$129",G20="’BDD FE’!$A$130",G20="’BDD FE’!$A$131",G20="’BDD FE’!$A$132"),F20*VLOOKUP(G20,'BDD FE'!$B$130:$H$148,6,0)*10^-3,F20*VLOOKUP(G20,'BDD FE'!$B$130:$H$148,6,0)*10^-3*$D20),0)</f>
        <v>0</v>
      </c>
      <c r="I20" s="163"/>
      <c r="J20" s="118"/>
      <c r="K20" s="123">
        <f>IFERROR(IF(OR(J20="’BDD FE’!$A$114",J20="’BDD FE’!$A$115",J20="’BDD FE’!$A$116",J20="’BDD FE’!$A$129",J20="’BDD FE’!$A$130",J20="’BDD FE’!$A$131",J20="’BDD FE’!$A$132"),I20*VLOOKUP(J20,'BDD FE'!$B$130:$H$148,6,0)*10^-3,I20*VLOOKUP(J20,'BDD FE'!$B$130:$H$148,6,0)*10^-3*$D20),0)</f>
        <v>0</v>
      </c>
      <c r="L20" s="163"/>
      <c r="M20" s="118"/>
      <c r="N20" s="123">
        <f>IFERROR(IF(OR(M20="’BDD FE’!$A$114",M20="’BDD FE’!$A$115",M20="’BDD FE’!$A$116",M20="’BDD FE’!$A$129",M20="’BDD FE’!$A$130",M20="’BDD FE’!$A$131",M20="’BDD FE’!$A$132"),L20*VLOOKUP(M20,'BDD FE'!$B$130:$H$148,6,0)*10^-3,L20*VLOOKUP(M20,'BDD FE'!$B$130:$H$148,6,0)*10^-3*$D20),0)</f>
        <v>0</v>
      </c>
      <c r="O20" s="239">
        <f t="shared" si="0"/>
        <v>0</v>
      </c>
      <c r="P20" s="125"/>
      <c r="Q20" s="633"/>
      <c r="R20" s="634"/>
      <c r="S20" s="635"/>
    </row>
    <row r="21" spans="1:19" ht="12.9" customHeight="1">
      <c r="A21" s="339" t="s">
        <v>3430</v>
      </c>
      <c r="B21" s="124"/>
      <c r="C21" s="163"/>
      <c r="D21" s="163"/>
      <c r="E21" s="238"/>
      <c r="F21" s="163"/>
      <c r="G21" s="118"/>
      <c r="H21" s="123">
        <f>IFERROR(IF(OR(G21="’BDD FE’!$A$114",G21="’BDD FE’!$A$115",G21="’BDD FE’!$A$116",G21="’BDD FE’!$A$129",G21="’BDD FE’!$A$130",G21="’BDD FE’!$A$131",G21="’BDD FE’!$A$132"),F21*VLOOKUP(G21,'BDD FE'!$B$130:$H$148,6,0)*10^-3,F21*VLOOKUP(G21,'BDD FE'!$B$130:$H$148,6,0)*10^-3*$D21),0)</f>
        <v>0</v>
      </c>
      <c r="I21" s="163"/>
      <c r="J21" s="118"/>
      <c r="K21" s="123">
        <f>IFERROR(IF(OR(J21="’BDD FE’!$A$114",J21="’BDD FE’!$A$115",J21="’BDD FE’!$A$116",J21="’BDD FE’!$A$129",J21="’BDD FE’!$A$130",J21="’BDD FE’!$A$131",J21="’BDD FE’!$A$132"),I21*VLOOKUP(J21,'BDD FE'!$B$130:$H$148,6,0)*10^-3,I21*VLOOKUP(J21,'BDD FE'!$B$130:$H$148,6,0)*10^-3*$D21),0)</f>
        <v>0</v>
      </c>
      <c r="L21" s="163"/>
      <c r="M21" s="118"/>
      <c r="N21" s="123">
        <f>IFERROR(IF(OR(M21="’BDD FE’!$A$114",M21="’BDD FE’!$A$115",M21="’BDD FE’!$A$116",M21="’BDD FE’!$A$129",M21="’BDD FE’!$A$130",M21="’BDD FE’!$A$131",M21="’BDD FE’!$A$132"),L21*VLOOKUP(M21,'BDD FE'!$B$130:$H$148,6,0)*10^-3,L21*VLOOKUP(M21,'BDD FE'!$B$130:$H$148,6,0)*10^-3*$D21),0)</f>
        <v>0</v>
      </c>
      <c r="O21" s="239">
        <f t="shared" si="0"/>
        <v>0</v>
      </c>
      <c r="P21" s="125"/>
      <c r="Q21" s="633"/>
      <c r="R21" s="634"/>
      <c r="S21" s="635"/>
    </row>
    <row r="22" spans="1:19" ht="12.9" customHeight="1">
      <c r="A22" s="340" t="s">
        <v>3433</v>
      </c>
      <c r="B22" s="124"/>
      <c r="C22" s="163"/>
      <c r="D22" s="163"/>
      <c r="E22" s="238"/>
      <c r="F22" s="163"/>
      <c r="G22" s="118"/>
      <c r="H22" s="123">
        <f>IFERROR(IF(OR(G22="’BDD FE’!$A$114",G22="’BDD FE’!$A$115",G22="’BDD FE’!$A$116",G22="’BDD FE’!$A$129",G22="’BDD FE’!$A$130",G22="’BDD FE’!$A$131",G22="’BDD FE’!$A$132"),F22*VLOOKUP(G22,'BDD FE'!$B$130:$H$148,6,0)*10^-3,F22*VLOOKUP(G22,'BDD FE'!$B$130:$H$148,6,0)*10^-3*$D22),0)</f>
        <v>0</v>
      </c>
      <c r="I22" s="163"/>
      <c r="J22" s="118"/>
      <c r="K22" s="123">
        <f>IFERROR(IF(OR(J22="’BDD FE’!$A$114",J22="’BDD FE’!$A$115",J22="’BDD FE’!$A$116",J22="’BDD FE’!$A$129",J22="’BDD FE’!$A$130",J22="’BDD FE’!$A$131",J22="’BDD FE’!$A$132"),I22*VLOOKUP(J22,'BDD FE'!$B$130:$H$148,6,0)*10^-3,I22*VLOOKUP(J22,'BDD FE'!$B$130:$H$148,6,0)*10^-3*$D22),0)</f>
        <v>0</v>
      </c>
      <c r="L22" s="163"/>
      <c r="M22" s="118"/>
      <c r="N22" s="123">
        <f>IFERROR(IF(OR(M22="’BDD FE’!$A$114",M22="’BDD FE’!$A$115",M22="’BDD FE’!$A$116",M22="’BDD FE’!$A$129",M22="’BDD FE’!$A$130",M22="’BDD FE’!$A$131",M22="’BDD FE’!$A$132"),L22*VLOOKUP(M22,'BDD FE'!$B$130:$H$148,6,0)*10^-3,L22*VLOOKUP(M22,'BDD FE'!$B$130:$H$148,6,0)*10^-3*$D22),0)</f>
        <v>0</v>
      </c>
      <c r="O22" s="239">
        <f t="shared" si="0"/>
        <v>0</v>
      </c>
      <c r="P22" s="125"/>
      <c r="Q22" s="633"/>
      <c r="R22" s="634"/>
      <c r="S22" s="635"/>
    </row>
    <row r="23" spans="1:19" ht="12.9" customHeight="1">
      <c r="A23" s="340" t="s">
        <v>3428</v>
      </c>
      <c r="B23" s="124"/>
      <c r="C23" s="163"/>
      <c r="D23" s="163"/>
      <c r="E23" s="238"/>
      <c r="F23" s="163"/>
      <c r="G23" s="118"/>
      <c r="H23" s="123">
        <f>IFERROR(IF(OR(G23="’BDD FE’!$A$114",G23="’BDD FE’!$A$115",G23="’BDD FE’!$A$116",G23="’BDD FE’!$A$129",G23="’BDD FE’!$A$130",G23="’BDD FE’!$A$131",G23="’BDD FE’!$A$132"),F23*VLOOKUP(G23,'BDD FE'!$B$130:$H$148,6,0)*10^-3,F23*VLOOKUP(G23,'BDD FE'!$B$130:$H$148,6,0)*10^-3*$D23),0)</f>
        <v>0</v>
      </c>
      <c r="I23" s="163"/>
      <c r="J23" s="118"/>
      <c r="K23" s="123">
        <f>IFERROR(IF(OR(J23="’BDD FE’!$A$114",J23="’BDD FE’!$A$115",J23="’BDD FE’!$A$116",J23="’BDD FE’!$A$129",J23="’BDD FE’!$A$130",J23="’BDD FE’!$A$131",J23="’BDD FE’!$A$132"),I23*VLOOKUP(J23,'BDD FE'!$B$130:$H$148,6,0)*10^-3,I23*VLOOKUP(J23,'BDD FE'!$B$130:$H$148,6,0)*10^-3*$D23),0)</f>
        <v>0</v>
      </c>
      <c r="L23" s="163"/>
      <c r="M23" s="118"/>
      <c r="N23" s="123">
        <f>IFERROR(IF(OR(M23="’BDD FE’!$A$114",M23="’BDD FE’!$A$115",M23="’BDD FE’!$A$116",M23="’BDD FE’!$A$129",M23="’BDD FE’!$A$130",M23="’BDD FE’!$A$131",M23="’BDD FE’!$A$132"),L23*VLOOKUP(M23,'BDD FE'!$B$130:$H$148,6,0)*10^-3,L23*VLOOKUP(M23,'BDD FE'!$B$130:$H$148,6,0)*10^-3*$D23),0)</f>
        <v>0</v>
      </c>
      <c r="O23" s="239">
        <f t="shared" si="0"/>
        <v>0</v>
      </c>
      <c r="P23" s="125"/>
      <c r="Q23" s="633"/>
      <c r="R23" s="634"/>
      <c r="S23" s="635"/>
    </row>
    <row r="24" spans="1:19" ht="12.9" customHeight="1">
      <c r="A24" s="340" t="s">
        <v>11</v>
      </c>
      <c r="B24" s="124"/>
      <c r="C24" s="163"/>
      <c r="D24" s="163"/>
      <c r="E24" s="238"/>
      <c r="F24" s="163"/>
      <c r="G24" s="118"/>
      <c r="H24" s="123">
        <f>IFERROR(IF(OR(G24="’BDD FE’!$A$114",G24="’BDD FE’!$A$115",G24="’BDD FE’!$A$116",G24="’BDD FE’!$A$129",G24="’BDD FE’!$A$130",G24="’BDD FE’!$A$131",G24="’BDD FE’!$A$132"),F24*VLOOKUP(G24,'BDD FE'!$B$130:$H$148,6,0)*10^-3,F24*VLOOKUP(G24,'BDD FE'!$B$130:$H$148,6,0)*10^-3*$D24),0)</f>
        <v>0</v>
      </c>
      <c r="I24" s="163"/>
      <c r="J24" s="118"/>
      <c r="K24" s="123">
        <f>IFERROR(IF(OR(J24="’BDD FE’!$A$114",J24="’BDD FE’!$A$115",J24="’BDD FE’!$A$116",J24="’BDD FE’!$A$129",J24="’BDD FE’!$A$130",J24="’BDD FE’!$A$131",J24="’BDD FE’!$A$132"),I24*VLOOKUP(J24,'BDD FE'!$B$130:$H$148,6,0)*10^-3,I24*VLOOKUP(J24,'BDD FE'!$B$130:$H$148,6,0)*10^-3*$D24),0)</f>
        <v>0</v>
      </c>
      <c r="L24" s="163"/>
      <c r="M24" s="118"/>
      <c r="N24" s="123">
        <f>IFERROR(IF(OR(M24="’BDD FE’!$A$114",M24="’BDD FE’!$A$115",M24="’BDD FE’!$A$116",M24="’BDD FE’!$A$129",M24="’BDD FE’!$A$130",M24="’BDD FE’!$A$131",M24="’BDD FE’!$A$132"),L24*VLOOKUP(M24,'BDD FE'!$B$130:$H$148,6,0)*10^-3,L24*VLOOKUP(M24,'BDD FE'!$B$130:$H$148,6,0)*10^-3*$D24),0)</f>
        <v>0</v>
      </c>
      <c r="O24" s="239">
        <f t="shared" si="0"/>
        <v>0</v>
      </c>
      <c r="P24" s="125"/>
      <c r="Q24" s="633"/>
      <c r="R24" s="634"/>
      <c r="S24" s="635"/>
    </row>
    <row r="25" spans="1:19" ht="13.25" customHeight="1">
      <c r="A25" s="340" t="s">
        <v>13</v>
      </c>
      <c r="B25" s="124"/>
      <c r="C25" s="163"/>
      <c r="D25" s="163"/>
      <c r="E25" s="238"/>
      <c r="F25" s="163"/>
      <c r="G25" s="118"/>
      <c r="H25" s="123">
        <f>IFERROR(IF(OR(G25="’BDD FE’!$A$114",G25="’BDD FE’!$A$115",G25="’BDD FE’!$A$116",G25="’BDD FE’!$A$129",G25="’BDD FE’!$A$130",G25="’BDD FE’!$A$131",G25="’BDD FE’!$A$132"),F25*VLOOKUP(G25,'BDD FE'!$B$130:$H$148,6,0)*10^-3,F25*VLOOKUP(G25,'BDD FE'!$B$130:$H$148,6,0)*10^-3*$D25),0)</f>
        <v>0</v>
      </c>
      <c r="I25" s="163"/>
      <c r="J25" s="118"/>
      <c r="K25" s="123">
        <f>IFERROR(IF(OR(J25="’BDD FE’!$A$114",J25="’BDD FE’!$A$115",J25="’BDD FE’!$A$116",J25="’BDD FE’!$A$129",J25="’BDD FE’!$A$130",J25="’BDD FE’!$A$131",J25="’BDD FE’!$A$132"),I25*VLOOKUP(J25,'BDD FE'!$B$130:$H$148,6,0)*10^-3,I25*VLOOKUP(J25,'BDD FE'!$B$130:$H$148,6,0)*10^-3*$D25),0)</f>
        <v>0</v>
      </c>
      <c r="L25" s="163"/>
      <c r="M25" s="118"/>
      <c r="N25" s="123">
        <f>IFERROR(IF(OR(M25="’BDD FE’!$A$114",M25="’BDD FE’!$A$115",M25="’BDD FE’!$A$116",M25="’BDD FE’!$A$129",M25="’BDD FE’!$A$130",M25="’BDD FE’!$A$131",M25="’BDD FE’!$A$132"),L25*VLOOKUP(M25,'BDD FE'!$B$130:$H$148,6,0)*10^-3,L25*VLOOKUP(M25,'BDD FE'!$B$130:$H$148,6,0)*10^-3*$D25),0)</f>
        <v>0</v>
      </c>
      <c r="O25" s="239">
        <f>IFERROR((H25+K25+N25)/E25,0)</f>
        <v>0</v>
      </c>
      <c r="P25" s="125"/>
      <c r="Q25" s="633"/>
      <c r="R25" s="634"/>
      <c r="S25" s="635"/>
    </row>
    <row r="26" spans="1:19" ht="13.25" customHeight="1">
      <c r="A26" s="435"/>
      <c r="B26" s="124"/>
      <c r="C26" s="163"/>
      <c r="D26" s="163"/>
      <c r="E26" s="238"/>
      <c r="F26" s="163"/>
      <c r="G26" s="118"/>
      <c r="H26" s="123">
        <f>IFERROR(IF(OR(G26="’BDD FE’!$A$114",G26="’BDD FE’!$A$115",G26="’BDD FE’!$A$116",G26="’BDD FE’!$A$129",G26="’BDD FE’!$A$130",G26="’BDD FE’!$A$131",G26="’BDD FE’!$A$132"),F26*VLOOKUP(G26,'BDD FE'!$B$130:$H$148,6,0)*10^-3,F26*VLOOKUP(G26,'BDD FE'!$B$130:$H$148,6,0)*10^-3*$D26),0)</f>
        <v>0</v>
      </c>
      <c r="I26" s="163"/>
      <c r="J26" s="118"/>
      <c r="K26" s="123">
        <f>IFERROR(IF(OR(J26="’BDD FE’!$A$114",J26="’BDD FE’!$A$115",J26="’BDD FE’!$A$116",J26="’BDD FE’!$A$129",J26="’BDD FE’!$A$130",J26="’BDD FE’!$A$131",J26="’BDD FE’!$A$132"),I26*VLOOKUP(J26,'BDD FE'!$B$130:$H$148,6,0)*10^-3,I26*VLOOKUP(J26,'BDD FE'!$B$130:$H$148,6,0)*10^-3*$D26),0)</f>
        <v>0</v>
      </c>
      <c r="L26" s="163"/>
      <c r="M26" s="118"/>
      <c r="N26" s="123">
        <f>IFERROR(IF(OR(M26="’BDD FE’!$A$114",M26="’BDD FE’!$A$115",M26="’BDD FE’!$A$116",M26="’BDD FE’!$A$129",M26="’BDD FE’!$A$130",M26="’BDD FE’!$A$131",M26="’BDD FE’!$A$132"),L26*VLOOKUP(M26,'BDD FE'!$B$130:$H$148,6,0)*10^-3,L26*VLOOKUP(M26,'BDD FE'!$B$130:$H$148,6,0)*10^-3*$D26),0)</f>
        <v>0</v>
      </c>
      <c r="O26" s="239">
        <f t="shared" si="0"/>
        <v>0</v>
      </c>
      <c r="P26" s="125"/>
      <c r="Q26" s="633"/>
      <c r="R26" s="634"/>
      <c r="S26" s="635"/>
    </row>
    <row r="27" spans="1:19" ht="13.25" customHeight="1">
      <c r="A27" s="435"/>
      <c r="B27" s="124"/>
      <c r="O27" s="240">
        <f>SUM(O15:O26)</f>
        <v>0</v>
      </c>
      <c r="P27" s="125"/>
      <c r="Q27" s="633"/>
      <c r="R27" s="634"/>
      <c r="S27" s="635"/>
    </row>
    <row r="28" spans="1:19" ht="13.25" customHeight="1">
      <c r="A28" s="435"/>
      <c r="B28" s="124"/>
      <c r="P28" s="125"/>
      <c r="Q28" s="633"/>
      <c r="R28" s="634"/>
      <c r="S28" s="635"/>
    </row>
    <row r="29" spans="1:19" ht="13.25" customHeight="1">
      <c r="A29" s="435"/>
      <c r="B29" s="124"/>
      <c r="P29" s="125"/>
      <c r="Q29" s="633"/>
      <c r="R29" s="634"/>
      <c r="S29" s="635"/>
    </row>
    <row r="30" spans="1:19" ht="13.25" customHeight="1">
      <c r="A30" s="435"/>
      <c r="B30" s="124"/>
      <c r="P30" s="125"/>
      <c r="Q30" s="633"/>
      <c r="R30" s="634"/>
      <c r="S30" s="635"/>
    </row>
    <row r="31" spans="1:19" ht="13.25" customHeight="1">
      <c r="A31" s="435"/>
      <c r="B31" s="124"/>
      <c r="P31" s="125"/>
      <c r="Q31" s="633"/>
      <c r="R31" s="634"/>
      <c r="S31" s="635"/>
    </row>
    <row r="32" spans="1:19" ht="13.25" customHeight="1">
      <c r="A32" s="435"/>
      <c r="B32" s="124"/>
      <c r="P32" s="125"/>
      <c r="Q32" s="633"/>
      <c r="R32" s="634"/>
      <c r="S32" s="635"/>
    </row>
    <row r="33" spans="1:19" ht="13.25" customHeight="1">
      <c r="A33" s="435"/>
      <c r="B33" s="124"/>
      <c r="P33" s="125"/>
      <c r="Q33" s="633"/>
      <c r="R33" s="634"/>
      <c r="S33" s="635"/>
    </row>
    <row r="34" spans="1:19" ht="13.25" customHeight="1">
      <c r="A34" s="435"/>
      <c r="B34" s="124"/>
      <c r="C34" s="643" t="s">
        <v>3814</v>
      </c>
      <c r="D34" s="643"/>
      <c r="E34" s="643"/>
      <c r="F34" s="643"/>
      <c r="G34" s="643"/>
      <c r="H34" s="643"/>
      <c r="I34" s="643"/>
      <c r="J34" s="643"/>
      <c r="K34" s="643"/>
      <c r="L34" s="643"/>
      <c r="M34" s="643"/>
      <c r="N34" s="643"/>
      <c r="O34" s="643"/>
      <c r="P34" s="125"/>
      <c r="Q34" s="633"/>
      <c r="R34" s="634"/>
      <c r="S34" s="635"/>
    </row>
    <row r="35" spans="1:19" ht="13.25" customHeight="1">
      <c r="A35" s="435"/>
      <c r="B35" s="124"/>
      <c r="L35" s="414"/>
      <c r="P35" s="125"/>
      <c r="Q35" s="633"/>
      <c r="R35" s="634"/>
      <c r="S35" s="635"/>
    </row>
    <row r="36" spans="1:19" ht="13.25" customHeight="1">
      <c r="A36" s="435"/>
      <c r="B36" s="124"/>
      <c r="H36" s="673" t="s">
        <v>3420</v>
      </c>
      <c r="I36" s="674"/>
      <c r="J36" s="675"/>
      <c r="K36" s="188" t="s">
        <v>3419</v>
      </c>
      <c r="L36" s="414"/>
      <c r="P36" s="125"/>
      <c r="Q36" s="633"/>
      <c r="R36" s="634"/>
      <c r="S36" s="635"/>
    </row>
    <row r="37" spans="1:19" ht="13.25" customHeight="1">
      <c r="A37" s="435"/>
      <c r="B37" s="124"/>
      <c r="G37" s="117" t="s">
        <v>176</v>
      </c>
      <c r="H37" s="397" t="s">
        <v>3808</v>
      </c>
      <c r="I37" s="397" t="s">
        <v>3809</v>
      </c>
      <c r="J37" s="397" t="s">
        <v>3810</v>
      </c>
      <c r="K37" s="397" t="s">
        <v>3812</v>
      </c>
      <c r="L37" s="397" t="s">
        <v>3811</v>
      </c>
      <c r="P37" s="125"/>
      <c r="Q37" s="633"/>
      <c r="R37" s="634"/>
      <c r="S37" s="635"/>
    </row>
    <row r="38" spans="1:19" ht="13.25" customHeight="1">
      <c r="A38" s="435"/>
      <c r="B38" s="124"/>
      <c r="G38" s="163"/>
      <c r="H38" s="163"/>
      <c r="I38" s="163"/>
      <c r="J38" s="118"/>
      <c r="K38" s="163"/>
      <c r="L38" s="132">
        <f>IFERROR(IF(ISBLANK(J38),K38*'BDD FE'!$C$715*10^-3,'10_Tournées artistiques'!K56*'10_Tournées artistiques'!L56*VLOOKUP('10_Tournées artistiques'!M40,'BDD FE'!$B$708:$C$714,2,FALSE)*10^-3),0)</f>
        <v>0</v>
      </c>
      <c r="P38" s="125"/>
      <c r="Q38" s="633"/>
      <c r="R38" s="634"/>
      <c r="S38" s="635"/>
    </row>
    <row r="39" spans="1:19" ht="13.25" customHeight="1">
      <c r="A39" s="435"/>
      <c r="B39" s="124"/>
      <c r="G39" s="163"/>
      <c r="H39" s="163"/>
      <c r="I39" s="163"/>
      <c r="J39" s="118"/>
      <c r="K39" s="163"/>
      <c r="L39" s="132">
        <f>IFERROR(IF(ISBLANK(J39),K39*'BDD FE'!$C$715*10^-3,'10_Tournées artistiques'!K57*'10_Tournées artistiques'!L57*VLOOKUP('10_Tournées artistiques'!M41,'BDD FE'!$B$708:$C$714,2,FALSE)*10^-3),0)</f>
        <v>0</v>
      </c>
      <c r="P39" s="125"/>
      <c r="Q39" s="633"/>
      <c r="R39" s="634"/>
      <c r="S39" s="635"/>
    </row>
    <row r="40" spans="1:19" ht="13.25" customHeight="1">
      <c r="A40" s="435"/>
      <c r="B40" s="124"/>
      <c r="G40" s="163"/>
      <c r="H40" s="163"/>
      <c r="I40" s="163"/>
      <c r="J40" s="118"/>
      <c r="K40" s="163"/>
      <c r="L40" s="132">
        <f>IFERROR(IF(ISBLANK(J40),K40*'BDD FE'!$C$715*10^-3,'10_Tournées artistiques'!K58*'10_Tournées artistiques'!L58*VLOOKUP('10_Tournées artistiques'!M42,'BDD FE'!$B$708:$C$714,2,FALSE)*10^-3),0)</f>
        <v>0</v>
      </c>
      <c r="P40" s="125"/>
      <c r="Q40" s="633"/>
      <c r="R40" s="634"/>
      <c r="S40" s="635"/>
    </row>
    <row r="41" spans="1:19" ht="13.25" customHeight="1">
      <c r="A41" s="435"/>
      <c r="B41" s="124"/>
      <c r="G41" s="163"/>
      <c r="H41" s="163"/>
      <c r="I41" s="163"/>
      <c r="J41" s="118"/>
      <c r="K41" s="163"/>
      <c r="L41" s="132">
        <f>IFERROR(IF(ISBLANK(J41),K41*'BDD FE'!$C$715*10^-3,'10_Tournées artistiques'!K59*'10_Tournées artistiques'!L59*VLOOKUP('10_Tournées artistiques'!M43,'BDD FE'!$B$708:$C$714,2,FALSE)*10^-3),0)</f>
        <v>0</v>
      </c>
      <c r="P41" s="125"/>
      <c r="Q41" s="633"/>
      <c r="R41" s="634"/>
      <c r="S41" s="635"/>
    </row>
    <row r="42" spans="1:19" ht="13.25" customHeight="1">
      <c r="A42" s="435"/>
      <c r="B42" s="124"/>
      <c r="G42" s="163"/>
      <c r="H42" s="163"/>
      <c r="I42" s="163"/>
      <c r="J42" s="118"/>
      <c r="K42" s="163"/>
      <c r="L42" s="132">
        <f>IFERROR(IF(ISBLANK(J42),K42*'BDD FE'!$C$715*10^-3,'10_Tournées artistiques'!K60*'10_Tournées artistiques'!L60*VLOOKUP('10_Tournées artistiques'!M44,'BDD FE'!$B$708:$C$714,2,FALSE)*10^-3),0)</f>
        <v>0</v>
      </c>
      <c r="P42" s="125"/>
      <c r="Q42" s="633"/>
      <c r="R42" s="634"/>
      <c r="S42" s="635"/>
    </row>
    <row r="43" spans="1:19" ht="13.25" customHeight="1">
      <c r="A43" s="435"/>
      <c r="B43" s="124"/>
      <c r="G43" s="163"/>
      <c r="H43" s="163"/>
      <c r="I43" s="163"/>
      <c r="J43" s="118"/>
      <c r="K43" s="163"/>
      <c r="L43" s="132">
        <f>IFERROR(IF(ISBLANK(J43),K43*'BDD FE'!$C$715*10^-3,'10_Tournées artistiques'!K61*'10_Tournées artistiques'!L61*VLOOKUP('10_Tournées artistiques'!M45,'BDD FE'!$B$708:$C$714,2,FALSE)*10^-3),0)</f>
        <v>0</v>
      </c>
      <c r="P43" s="125"/>
      <c r="Q43" s="633"/>
      <c r="R43" s="634"/>
      <c r="S43" s="635"/>
    </row>
    <row r="44" spans="1:19" ht="13.25" customHeight="1">
      <c r="A44" s="435"/>
      <c r="B44" s="124"/>
      <c r="G44" s="163"/>
      <c r="H44" s="163"/>
      <c r="I44" s="163"/>
      <c r="J44" s="118"/>
      <c r="K44" s="163"/>
      <c r="L44" s="132">
        <f>IFERROR(IF(ISBLANK(J44),K44*'BDD FE'!$C$715*10^-3,'10_Tournées artistiques'!K62*'10_Tournées artistiques'!L62*VLOOKUP('10_Tournées artistiques'!M46,'BDD FE'!$B$708:$C$714,2,FALSE)*10^-3),0)</f>
        <v>0</v>
      </c>
      <c r="P44" s="125"/>
      <c r="Q44" s="633"/>
      <c r="R44" s="634"/>
      <c r="S44" s="635"/>
    </row>
    <row r="45" spans="1:19">
      <c r="A45" s="436"/>
      <c r="B45" s="124"/>
      <c r="G45" s="163"/>
      <c r="H45" s="163"/>
      <c r="I45" s="163"/>
      <c r="J45" s="118"/>
      <c r="K45" s="163"/>
      <c r="L45" s="132">
        <f>IFERROR(IF(ISBLANK(J45),K45*'BDD FE'!$C$715*10^-3,'10_Tournées artistiques'!K63*'10_Tournées artistiques'!L63*VLOOKUP('10_Tournées artistiques'!M47,'BDD FE'!$B$708:$C$714,2,FALSE)*10^-3),0)</f>
        <v>0</v>
      </c>
      <c r="P45" s="125"/>
      <c r="Q45" s="639"/>
      <c r="R45" s="640"/>
      <c r="S45" s="641"/>
    </row>
    <row r="46" spans="1:19">
      <c r="A46" s="436"/>
      <c r="B46" s="124"/>
      <c r="G46" s="163"/>
      <c r="H46" s="163"/>
      <c r="I46" s="163"/>
      <c r="J46" s="118"/>
      <c r="K46" s="163"/>
      <c r="L46" s="132">
        <f>IFERROR(IF(ISBLANK(J46),K46*'BDD FE'!$C$715*10^-3,'10_Tournées artistiques'!K64*'10_Tournées artistiques'!L64*VLOOKUP('10_Tournées artistiques'!M48,'BDD FE'!$B$708:$C$714,2,FALSE)*10^-3),0)</f>
        <v>0</v>
      </c>
      <c r="P46" s="125"/>
      <c r="Q46" s="145"/>
      <c r="S46" s="149"/>
    </row>
    <row r="47" spans="1:19">
      <c r="B47" s="124"/>
      <c r="G47" s="163"/>
      <c r="H47" s="163"/>
      <c r="I47" s="163"/>
      <c r="J47" s="118"/>
      <c r="K47" s="163"/>
      <c r="L47" s="132">
        <f>IFERROR(IF(ISBLANK(J47),K47*'BDD FE'!$C$715*10^-3,'10_Tournées artistiques'!K65*'10_Tournées artistiques'!L65*VLOOKUP('10_Tournées artistiques'!M49,'BDD FE'!$B$708:$C$714,2,FALSE)*10^-3),0)</f>
        <v>0</v>
      </c>
      <c r="P47" s="125"/>
      <c r="Q47" s="145"/>
      <c r="S47" s="149"/>
    </row>
    <row r="48" spans="1:19">
      <c r="B48" s="124"/>
      <c r="L48" s="123">
        <f>SUM(L38:L47)</f>
        <v>0</v>
      </c>
      <c r="P48" s="125"/>
      <c r="Q48" s="145"/>
      <c r="S48" s="149"/>
    </row>
    <row r="49" spans="2:19">
      <c r="B49" s="124"/>
      <c r="P49" s="125"/>
      <c r="Q49" s="145"/>
      <c r="S49" s="149"/>
    </row>
    <row r="50" spans="2:19" ht="15" thickBot="1">
      <c r="B50" s="124"/>
      <c r="P50" s="125"/>
      <c r="Q50" s="150"/>
      <c r="R50" s="151"/>
      <c r="S50" s="152"/>
    </row>
    <row r="51" spans="2:19" ht="15" thickBot="1">
      <c r="B51" s="136"/>
      <c r="C51" s="137"/>
      <c r="D51" s="137"/>
      <c r="E51" s="137"/>
      <c r="F51" s="137"/>
      <c r="G51" s="137"/>
      <c r="H51" s="137"/>
      <c r="I51" s="137"/>
      <c r="J51" s="137"/>
      <c r="K51" s="137"/>
      <c r="L51" s="137"/>
      <c r="M51" s="137"/>
      <c r="N51" s="137"/>
      <c r="O51" s="137"/>
      <c r="P51" s="138"/>
    </row>
    <row r="52" spans="2:19" ht="21" customHeight="1" thickBot="1">
      <c r="B52" s="571" t="s">
        <v>46</v>
      </c>
      <c r="C52" s="572"/>
      <c r="D52" s="572"/>
      <c r="E52" s="572"/>
      <c r="F52" s="572"/>
      <c r="G52" s="572"/>
      <c r="H52" s="572"/>
      <c r="I52" s="572"/>
      <c r="J52" s="572"/>
      <c r="K52" s="572"/>
      <c r="L52" s="572"/>
      <c r="M52" s="572"/>
      <c r="N52" s="572"/>
      <c r="O52" s="572"/>
      <c r="P52" s="572"/>
    </row>
    <row r="53" spans="2:19">
      <c r="B53" s="133"/>
      <c r="C53" s="509"/>
      <c r="D53" s="509"/>
      <c r="E53" s="509"/>
      <c r="F53" s="509"/>
      <c r="G53" s="509"/>
      <c r="H53" s="509"/>
      <c r="I53" s="509"/>
      <c r="J53" s="509"/>
      <c r="K53" s="509"/>
      <c r="L53" s="509"/>
      <c r="M53" s="509"/>
      <c r="N53" s="509"/>
      <c r="O53" s="509"/>
      <c r="P53" s="510"/>
    </row>
    <row r="54" spans="2:19">
      <c r="B54" s="124"/>
      <c r="C54" s="130"/>
      <c r="D54" s="130"/>
      <c r="E54" s="130"/>
      <c r="F54" s="130"/>
      <c r="G54" s="130"/>
      <c r="H54" s="130"/>
      <c r="I54" s="130"/>
      <c r="J54" s="130"/>
      <c r="K54" s="130"/>
      <c r="L54" s="130"/>
      <c r="M54" s="130"/>
      <c r="N54" s="130"/>
      <c r="O54" s="130"/>
      <c r="P54" s="148"/>
    </row>
    <row r="55" spans="2:19" ht="25">
      <c r="B55" s="124"/>
      <c r="E55" s="397" t="s">
        <v>81</v>
      </c>
      <c r="F55" s="117" t="s">
        <v>23</v>
      </c>
      <c r="G55" s="472" t="s">
        <v>3908</v>
      </c>
      <c r="I55" s="130"/>
      <c r="J55" s="472" t="s">
        <v>3908</v>
      </c>
      <c r="K55" s="117" t="s">
        <v>23</v>
      </c>
      <c r="M55" s="130"/>
      <c r="N55" s="130"/>
      <c r="O55" s="130"/>
      <c r="P55" s="148"/>
    </row>
    <row r="56" spans="2:19">
      <c r="B56" s="124"/>
      <c r="E56" s="477" t="s">
        <v>3955</v>
      </c>
      <c r="F56" s="479">
        <f>SUMIFS($J$15:$J$26,$K$15:$K$26,E56)+SUMIFS($M$15:$M$26,$N$15:$N$26,E56)+SUMIFS($G$15:$G$26,$H$15:$H$26,E56)</f>
        <v>0</v>
      </c>
      <c r="G56" s="478" t="s">
        <v>94</v>
      </c>
      <c r="I56" s="130"/>
      <c r="J56" s="477" t="s">
        <v>95</v>
      </c>
      <c r="K56" s="171">
        <f>SUMIFS($G$56:$G$74,$F$56:$F$74,J56)</f>
        <v>0</v>
      </c>
      <c r="M56" s="130"/>
      <c r="N56" s="130"/>
      <c r="O56" s="130"/>
      <c r="P56" s="148"/>
    </row>
    <row r="57" spans="2:19">
      <c r="B57" s="124"/>
      <c r="E57" s="477" t="s">
        <v>3649</v>
      </c>
      <c r="F57" s="479">
        <f t="shared" ref="F57:F74" si="1">SUMIFS($J$15:$J$26,$K$15:$K$26,E57)+SUMIFS($M$15:$M$26,$N$15:$N$26,E57)+SUMIFS($G$15:$G$26,$H$15:$H$26,E57)</f>
        <v>0</v>
      </c>
      <c r="G57" s="478" t="s">
        <v>94</v>
      </c>
      <c r="I57" s="130"/>
      <c r="J57" s="477" t="s">
        <v>94</v>
      </c>
      <c r="K57" s="171">
        <f t="shared" ref="K57:K60" si="2">SUMIFS($G$56:$G$74,$F$56:$F$74,J57)</f>
        <v>0</v>
      </c>
      <c r="M57" s="130"/>
      <c r="N57" s="130"/>
      <c r="O57" s="130"/>
      <c r="P57" s="148"/>
    </row>
    <row r="58" spans="2:19">
      <c r="B58" s="124"/>
      <c r="E58" s="477" t="s">
        <v>3650</v>
      </c>
      <c r="F58" s="479">
        <f t="shared" si="1"/>
        <v>0</v>
      </c>
      <c r="G58" s="477" t="s">
        <v>95</v>
      </c>
      <c r="I58" s="130"/>
      <c r="J58" s="477" t="s">
        <v>3913</v>
      </c>
      <c r="K58" s="171">
        <f t="shared" si="2"/>
        <v>0</v>
      </c>
      <c r="M58" s="130"/>
      <c r="N58" s="130"/>
      <c r="O58" s="130"/>
      <c r="P58" s="148"/>
    </row>
    <row r="59" spans="2:19">
      <c r="B59" s="124"/>
      <c r="E59" s="477" t="s">
        <v>3651</v>
      </c>
      <c r="F59" s="479">
        <f t="shared" si="1"/>
        <v>0</v>
      </c>
      <c r="G59" s="477" t="s">
        <v>95</v>
      </c>
      <c r="I59" s="130"/>
      <c r="J59" s="477" t="s">
        <v>93</v>
      </c>
      <c r="K59" s="171">
        <f t="shared" si="2"/>
        <v>0</v>
      </c>
      <c r="M59" s="130"/>
      <c r="N59" s="130"/>
      <c r="O59" s="130"/>
      <c r="P59" s="148"/>
    </row>
    <row r="60" spans="2:19">
      <c r="B60" s="124"/>
      <c r="E60" s="477" t="s">
        <v>3652</v>
      </c>
      <c r="F60" s="479">
        <f t="shared" si="1"/>
        <v>0</v>
      </c>
      <c r="G60" s="478" t="s">
        <v>93</v>
      </c>
      <c r="I60" s="130"/>
      <c r="J60" s="477" t="s">
        <v>73</v>
      </c>
      <c r="K60" s="171">
        <f t="shared" si="2"/>
        <v>0</v>
      </c>
      <c r="M60" s="130"/>
      <c r="N60" s="130"/>
      <c r="O60" s="130"/>
      <c r="P60" s="148"/>
    </row>
    <row r="61" spans="2:19">
      <c r="B61" s="124"/>
      <c r="E61" s="477" t="s">
        <v>3654</v>
      </c>
      <c r="F61" s="479">
        <f t="shared" si="1"/>
        <v>0</v>
      </c>
      <c r="G61" s="478" t="s">
        <v>93</v>
      </c>
      <c r="I61" s="130"/>
      <c r="J61" s="130"/>
      <c r="K61" s="130"/>
      <c r="L61" s="130"/>
      <c r="M61" s="130"/>
      <c r="N61" s="130"/>
      <c r="O61" s="130"/>
      <c r="P61" s="148"/>
    </row>
    <row r="62" spans="2:19">
      <c r="B62" s="124"/>
      <c r="E62" s="477" t="s">
        <v>3656</v>
      </c>
      <c r="F62" s="479">
        <f t="shared" si="1"/>
        <v>0</v>
      </c>
      <c r="G62" s="477" t="s">
        <v>73</v>
      </c>
      <c r="I62" s="130"/>
      <c r="J62" s="130"/>
      <c r="K62" s="130"/>
      <c r="L62" s="130"/>
      <c r="M62" s="130"/>
      <c r="N62" s="130"/>
      <c r="O62" s="130"/>
      <c r="P62" s="148"/>
    </row>
    <row r="63" spans="2:19">
      <c r="B63" s="124"/>
      <c r="E63" s="477" t="s">
        <v>3658</v>
      </c>
      <c r="F63" s="479">
        <f t="shared" si="1"/>
        <v>0</v>
      </c>
      <c r="G63" s="477" t="s">
        <v>73</v>
      </c>
      <c r="I63" s="130"/>
      <c r="J63" s="130"/>
      <c r="K63" s="130"/>
      <c r="L63" s="130"/>
      <c r="M63" s="130"/>
      <c r="N63" s="130"/>
      <c r="O63" s="130"/>
      <c r="P63" s="148"/>
    </row>
    <row r="64" spans="2:19">
      <c r="B64" s="124"/>
      <c r="E64" s="477" t="s">
        <v>3659</v>
      </c>
      <c r="F64" s="479">
        <f t="shared" si="1"/>
        <v>0</v>
      </c>
      <c r="G64" s="477" t="s">
        <v>73</v>
      </c>
      <c r="I64" s="130"/>
      <c r="J64" s="130"/>
      <c r="K64" s="130"/>
      <c r="L64" s="130"/>
      <c r="M64" s="130"/>
      <c r="N64" s="130"/>
      <c r="O64" s="130"/>
      <c r="P64" s="148"/>
    </row>
    <row r="65" spans="2:16">
      <c r="B65" s="124"/>
      <c r="E65" s="477" t="s">
        <v>3660</v>
      </c>
      <c r="F65" s="479">
        <f t="shared" si="1"/>
        <v>0</v>
      </c>
      <c r="G65" s="477" t="s">
        <v>73</v>
      </c>
      <c r="I65" s="130"/>
      <c r="J65" s="130"/>
      <c r="K65" s="130"/>
      <c r="L65" s="130"/>
      <c r="M65" s="130"/>
      <c r="N65" s="130"/>
      <c r="O65" s="130"/>
      <c r="P65" s="148"/>
    </row>
    <row r="66" spans="2:16">
      <c r="B66" s="124"/>
      <c r="E66" s="477" t="s">
        <v>3661</v>
      </c>
      <c r="F66" s="479">
        <f t="shared" si="1"/>
        <v>0</v>
      </c>
      <c r="G66" s="478" t="s">
        <v>93</v>
      </c>
      <c r="P66" s="125"/>
    </row>
    <row r="67" spans="2:16">
      <c r="B67" s="124"/>
      <c r="E67" s="477" t="s">
        <v>3663</v>
      </c>
      <c r="F67" s="479">
        <f t="shared" si="1"/>
        <v>0</v>
      </c>
      <c r="G67" s="477" t="s">
        <v>3913</v>
      </c>
      <c r="P67" s="125"/>
    </row>
    <row r="68" spans="2:16">
      <c r="B68" s="124"/>
      <c r="E68" s="477" t="s">
        <v>3975</v>
      </c>
      <c r="F68" s="479">
        <f t="shared" si="1"/>
        <v>0</v>
      </c>
      <c r="G68" s="477" t="s">
        <v>93</v>
      </c>
      <c r="P68" s="125"/>
    </row>
    <row r="69" spans="2:16">
      <c r="B69" s="124"/>
      <c r="E69" s="477" t="s">
        <v>91</v>
      </c>
      <c r="F69" s="479">
        <f t="shared" si="1"/>
        <v>0</v>
      </c>
      <c r="G69" s="478" t="s">
        <v>93</v>
      </c>
      <c r="P69" s="125"/>
    </row>
    <row r="70" spans="2:16">
      <c r="B70" s="124"/>
      <c r="E70" s="477" t="s">
        <v>3949</v>
      </c>
      <c r="F70" s="479">
        <f t="shared" si="1"/>
        <v>0</v>
      </c>
      <c r="G70" s="478" t="s">
        <v>93</v>
      </c>
      <c r="P70" s="125"/>
    </row>
    <row r="71" spans="2:16">
      <c r="B71" s="124"/>
      <c r="E71" s="477" t="s">
        <v>3665</v>
      </c>
      <c r="F71" s="479">
        <f t="shared" si="1"/>
        <v>0</v>
      </c>
      <c r="G71" s="477" t="s">
        <v>73</v>
      </c>
      <c r="P71" s="125"/>
    </row>
    <row r="72" spans="2:16">
      <c r="B72" s="124"/>
      <c r="E72" s="477" t="s">
        <v>3667</v>
      </c>
      <c r="F72" s="479">
        <f t="shared" si="1"/>
        <v>0</v>
      </c>
      <c r="G72" s="477" t="s">
        <v>73</v>
      </c>
      <c r="I72" s="112"/>
      <c r="J72" s="112"/>
      <c r="K72" s="112"/>
      <c r="L72" s="112"/>
      <c r="M72" s="112"/>
      <c r="N72" s="112"/>
      <c r="O72" s="112"/>
      <c r="P72" s="126"/>
    </row>
    <row r="73" spans="2:16">
      <c r="B73" s="127"/>
      <c r="E73" s="477" t="s">
        <v>3669</v>
      </c>
      <c r="F73" s="479">
        <f t="shared" si="1"/>
        <v>0</v>
      </c>
      <c r="G73" s="477" t="s">
        <v>73</v>
      </c>
      <c r="I73" s="112"/>
      <c r="J73" s="112"/>
      <c r="K73" s="112"/>
      <c r="L73" s="112"/>
      <c r="M73" s="112"/>
      <c r="N73" s="112"/>
      <c r="O73" s="112"/>
      <c r="P73" s="126"/>
    </row>
    <row r="74" spans="2:16">
      <c r="B74" s="127"/>
      <c r="E74" s="477" t="s">
        <v>3670</v>
      </c>
      <c r="F74" s="479">
        <f t="shared" si="1"/>
        <v>0</v>
      </c>
      <c r="G74" s="477" t="s">
        <v>73</v>
      </c>
      <c r="I74" s="112"/>
      <c r="J74" s="112"/>
      <c r="K74" s="112"/>
      <c r="L74" s="112"/>
      <c r="M74" s="112"/>
      <c r="N74" s="112"/>
      <c r="O74" s="112"/>
      <c r="P74" s="126"/>
    </row>
    <row r="75" spans="2:16">
      <c r="B75" s="127"/>
      <c r="C75" s="112"/>
      <c r="D75" s="112"/>
      <c r="E75" s="112"/>
      <c r="F75" s="112"/>
      <c r="G75" s="112"/>
      <c r="H75" s="112"/>
      <c r="I75" s="112"/>
      <c r="J75" s="112"/>
      <c r="K75" s="112"/>
      <c r="L75" s="112"/>
      <c r="M75" s="112"/>
      <c r="N75" s="112"/>
      <c r="O75" s="112"/>
      <c r="P75" s="126"/>
    </row>
    <row r="76" spans="2:16">
      <c r="B76" s="127"/>
      <c r="C76" s="112"/>
      <c r="D76" s="112"/>
      <c r="E76" s="112"/>
      <c r="F76" s="112"/>
      <c r="G76" s="112"/>
      <c r="H76" s="112"/>
      <c r="I76" s="112"/>
      <c r="J76" s="112"/>
      <c r="K76" s="112"/>
      <c r="L76" s="112"/>
      <c r="M76" s="112"/>
      <c r="N76" s="112"/>
      <c r="O76" s="112"/>
      <c r="P76" s="126"/>
    </row>
    <row r="77" spans="2:16">
      <c r="B77" s="127"/>
      <c r="F77" s="112"/>
      <c r="G77" s="112"/>
      <c r="H77" s="112"/>
      <c r="I77" s="112"/>
      <c r="J77" s="112"/>
      <c r="K77" s="112"/>
      <c r="L77" s="112"/>
      <c r="M77" s="112"/>
      <c r="N77" s="112"/>
      <c r="O77" s="112"/>
      <c r="P77" s="126"/>
    </row>
    <row r="78" spans="2:16">
      <c r="B78" s="127"/>
      <c r="F78" s="112"/>
      <c r="G78" s="112"/>
      <c r="H78" s="112"/>
      <c r="I78" s="112"/>
      <c r="J78" s="112"/>
      <c r="K78" s="112"/>
      <c r="L78" s="112"/>
      <c r="M78" s="112"/>
      <c r="N78" s="112"/>
      <c r="O78" s="112"/>
      <c r="P78" s="126"/>
    </row>
    <row r="79" spans="2:16">
      <c r="B79" s="127"/>
      <c r="F79" s="112"/>
      <c r="G79" s="112"/>
      <c r="H79" s="112"/>
      <c r="I79" s="112"/>
      <c r="J79" s="112"/>
      <c r="K79" s="112"/>
      <c r="L79" s="112"/>
      <c r="M79" s="112"/>
      <c r="N79" s="112"/>
      <c r="O79" s="112"/>
      <c r="P79" s="126"/>
    </row>
    <row r="80" spans="2:16">
      <c r="B80" s="127"/>
      <c r="F80" s="112"/>
      <c r="G80" s="112"/>
      <c r="H80" s="112"/>
      <c r="I80" s="112"/>
      <c r="J80" s="112"/>
      <c r="K80" s="112"/>
      <c r="L80" s="112"/>
      <c r="M80" s="112"/>
      <c r="N80" s="112"/>
      <c r="O80" s="112"/>
      <c r="P80" s="126"/>
    </row>
    <row r="81" spans="2:16">
      <c r="B81" s="127"/>
      <c r="F81" s="112"/>
      <c r="G81" s="112"/>
      <c r="H81" s="112"/>
      <c r="I81" s="112"/>
      <c r="J81" s="112"/>
      <c r="K81" s="112"/>
      <c r="L81" s="112"/>
      <c r="M81" s="112"/>
      <c r="N81" s="112"/>
      <c r="O81" s="112"/>
      <c r="P81" s="126"/>
    </row>
    <row r="82" spans="2:16" ht="15" thickBot="1">
      <c r="B82" s="142"/>
      <c r="C82" s="137"/>
      <c r="D82" s="137"/>
      <c r="E82" s="137"/>
      <c r="F82" s="143"/>
      <c r="G82" s="143"/>
      <c r="H82" s="143"/>
      <c r="I82" s="143"/>
      <c r="J82" s="143"/>
      <c r="K82" s="143"/>
      <c r="L82" s="143"/>
      <c r="M82" s="143"/>
      <c r="N82" s="143"/>
      <c r="O82" s="143"/>
      <c r="P82" s="144"/>
    </row>
  </sheetData>
  <protectedRanges>
    <protectedRange sqref="Q3 Q8 Q18:Q23" name="Plage1_1"/>
    <protectedRange sqref="G38:K47" name="Plage1_3"/>
  </protectedRanges>
  <mergeCells count="16">
    <mergeCell ref="B52:P52"/>
    <mergeCell ref="A1:A2"/>
    <mergeCell ref="C11:O11"/>
    <mergeCell ref="Q17:S17"/>
    <mergeCell ref="Q8:S16"/>
    <mergeCell ref="Q18:S45"/>
    <mergeCell ref="Q1:S1"/>
    <mergeCell ref="F13:H13"/>
    <mergeCell ref="I13:K13"/>
    <mergeCell ref="L13:N13"/>
    <mergeCell ref="B1:P1"/>
    <mergeCell ref="C4:O8"/>
    <mergeCell ref="Q2:S2"/>
    <mergeCell ref="Q3:S6"/>
    <mergeCell ref="H36:J36"/>
    <mergeCell ref="C34:O34"/>
  </mergeCells>
  <hyperlinks>
    <hyperlink ref="A6" location="'1_Votre Structure'!A1" display="Votre structure" xr:uid="{4243E0B5-AE3C-4F84-B3B4-56AD64167E3F}"/>
    <hyperlink ref="A7" location="'2_ConsoEnergieEau'!A1" display="Consommation d'énergie et d'eau" xr:uid="{A581D1AE-99FB-46F8-B7E2-0C58BD1C4DC9}"/>
    <hyperlink ref="A8" location="'3_Climatisation'!A1" display="Climatisation" xr:uid="{B2259E9B-B375-425D-8898-2326F14D50F5}"/>
    <hyperlink ref="A12" location="'7_DéplacementsProfessionnels'!A1" display="Déplacements professionnels" xr:uid="{20400693-072C-41CC-8035-50D997D3D1FB}"/>
    <hyperlink ref="A13" location="'8_DéplacementsSalariés'!A1" display="Déplacements des salariés" xr:uid="{5792E64C-77AF-42CA-A77D-C5B4693A2B5A}"/>
    <hyperlink ref="A17" location="'12_Equipements'!A1" display="Equipements" xr:uid="{D4E0436F-D5EB-4D9B-BF97-7E02AD94C800}"/>
    <hyperlink ref="A10" location="'5_Déchets'!A1" display="Déchets" xr:uid="{5FB9619E-CC85-4CC5-A070-0CBE3EB83F6D}"/>
    <hyperlink ref="A22" location="'17_TransportMatériel'!A1" display="Transport de matériel et d'œuvres" xr:uid="{08FB4FF9-3F25-4610-AFBB-89D2AD8C91AF}"/>
    <hyperlink ref="A23" location="'18_ImpressionsComPapier'!A1" display="Impression et communication papier" xr:uid="{527F321E-D43B-44BE-A624-CFCB876FF9FC}"/>
    <hyperlink ref="A24" location="'19_ComDigitale'!A1" display="Communication digitale" xr:uid="{EF510DAC-AD40-4AAC-B31F-8F75F6E26E77}"/>
    <hyperlink ref="A25" location="'20_Billetterie'!A1" display="Billetterie" xr:uid="{B03C812A-E993-42EA-B9A2-E1C50ADFD484}"/>
    <hyperlink ref="A20" location="'15_Alimentation'!A1" display="Alimentation" xr:uid="{D0A23C84-6D15-4B80-843C-284CD00038B1}"/>
    <hyperlink ref="A14" location="'9_DéplacementsVisiteurs'!A1" display="Déplacements des visiteurs" xr:uid="{1707238A-3D7F-4480-AD33-BB6BB422D7C5}"/>
    <hyperlink ref="A15" location="'10_Tournées artistiques'!A1" display="Tournées artistiques" xr:uid="{9992A99F-A429-4E62-B4DB-221FFAF9489D}"/>
    <hyperlink ref="A16" location="'11_Artistes invité.e.s'!A1" display="Artistes invité.e.s" xr:uid="{526976B2-43BB-4E8C-AC4F-2ABE11DBAD36}"/>
    <hyperlink ref="A9" location="'4_Bâtiments,travaux, agcmt'!A1" display="Bâtiments, travaux et agencements" xr:uid="{AB479D1E-41B6-4153-8627-703AB3E8CBFE}"/>
    <hyperlink ref="A18" location="'13_Achats - Documents papiers'!A1" display="Achats - Documents papiers" xr:uid="{08AACA26-5CBD-43CA-8037-714B19B983AC}"/>
    <hyperlink ref="A21" location="'16_Autres achats (€)'!A1" display="Autres achats" xr:uid="{D999C208-6A93-4072-A684-224171742210}"/>
    <hyperlink ref="A19" location="'14_Décors'!A1" display="Décors" xr:uid="{DD763C21-0DFC-498D-820B-3F823AB31DC1}"/>
    <hyperlink ref="A11" location="'6_DéplacementsPrestations'!A1" display="Déplacements de prestations" xr:uid="{813EE17C-0EC7-4B3B-98AF-13AA798BC2E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E7B01B-F0AF-4D02-AA3F-4C9651918751}">
          <x14:formula1>
            <xm:f>'BDD FE'!$B$708:$B$714</xm:f>
          </x14:formula1>
          <xm:sqref>J38:J47</xm:sqref>
        </x14:dataValidation>
        <x14:dataValidation type="list" allowBlank="1" showInputMessage="1" showErrorMessage="1" xr:uid="{00000000-0002-0000-1200-000000000000}">
          <x14:formula1>
            <xm:f>'BDD FE'!$B$130:$B$148</xm:f>
          </x14:formula1>
          <xm:sqref>G49:G51 J49:J51 M35 M15:M33 G14:G33 J15:J33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R235"/>
  <sheetViews>
    <sheetView showGridLines="0" zoomScale="56" zoomScaleNormal="112" workbookViewId="0">
      <selection activeCell="C92" sqref="C92:F95"/>
    </sheetView>
  </sheetViews>
  <sheetFormatPr baseColWidth="10" defaultColWidth="0" defaultRowHeight="14.5" zeroHeight="1"/>
  <cols>
    <col min="1" max="1" width="25.81640625" bestFit="1" customWidth="1"/>
    <col min="2" max="2" width="12.36328125" style="169" bestFit="1" customWidth="1"/>
    <col min="3" max="3" width="28.54296875" style="169" customWidth="1"/>
    <col min="4" max="4" width="17.36328125" style="169" customWidth="1"/>
    <col min="5" max="5" width="16.6328125" style="169" customWidth="1"/>
    <col min="6" max="6" width="21.6328125" style="169" customWidth="1"/>
    <col min="7" max="7" width="31.54296875" style="169" customWidth="1"/>
    <col min="8" max="8" width="28.453125" style="169" customWidth="1"/>
    <col min="9" max="9" width="28.6328125" style="169" customWidth="1"/>
    <col min="10" max="10" width="28.54296875" style="169" customWidth="1"/>
    <col min="11" max="11" width="16.1796875" style="169" customWidth="1"/>
    <col min="12" max="12" width="22.54296875" style="169" customWidth="1"/>
    <col min="13" max="13" width="18" style="169" customWidth="1"/>
    <col min="14" max="14" width="11" style="169" customWidth="1"/>
    <col min="15" max="17" width="11.1796875" customWidth="1"/>
    <col min="18" max="18" width="57.6328125" customWidth="1"/>
    <col min="19" max="16384" width="11.1796875" hidden="1"/>
  </cols>
  <sheetData>
    <row r="1" spans="1:17" ht="21.25" customHeight="1" thickBot="1">
      <c r="A1" s="337" t="s">
        <v>4039</v>
      </c>
      <c r="B1" s="649" t="s">
        <v>3826</v>
      </c>
      <c r="C1" s="688"/>
      <c r="D1" s="572"/>
      <c r="E1" s="572"/>
      <c r="F1" s="572"/>
      <c r="G1" s="572"/>
      <c r="H1" s="572"/>
      <c r="I1" s="572"/>
      <c r="J1" s="572"/>
      <c r="K1" s="572"/>
      <c r="L1" s="572"/>
      <c r="M1" s="572"/>
      <c r="N1" s="573"/>
      <c r="O1" s="656" t="s">
        <v>3391</v>
      </c>
      <c r="P1" s="657"/>
      <c r="Q1" s="658"/>
    </row>
    <row r="2" spans="1:17" ht="18" thickBot="1">
      <c r="A2" s="342" t="s">
        <v>3359</v>
      </c>
      <c r="B2" s="173"/>
      <c r="C2" s="302"/>
      <c r="D2" s="130"/>
      <c r="E2" s="130"/>
      <c r="F2" s="170"/>
      <c r="H2" s="504">
        <f>SUM(G129,J37,H153,J183,H61,H84)</f>
        <v>0</v>
      </c>
      <c r="I2" s="130"/>
      <c r="J2" s="130"/>
      <c r="K2" s="130"/>
      <c r="L2" s="130"/>
      <c r="M2" s="130"/>
      <c r="N2" s="148"/>
      <c r="O2" s="613" t="s">
        <v>3457</v>
      </c>
      <c r="P2" s="614"/>
      <c r="Q2" s="615"/>
    </row>
    <row r="3" spans="1:17" ht="17.5">
      <c r="A3" s="338"/>
      <c r="B3" s="173"/>
      <c r="C3" s="302"/>
      <c r="D3" s="130"/>
      <c r="E3" s="130"/>
      <c r="F3" s="170"/>
      <c r="H3" s="438"/>
      <c r="I3" s="130"/>
      <c r="J3" s="130"/>
      <c r="K3" s="130"/>
      <c r="L3" s="130"/>
      <c r="M3" s="130"/>
      <c r="N3" s="148"/>
      <c r="O3" s="633"/>
      <c r="P3" s="634"/>
      <c r="Q3" s="635"/>
    </row>
    <row r="4" spans="1:17" ht="18.649999999999999" customHeight="1">
      <c r="A4" s="338"/>
      <c r="B4" s="173"/>
      <c r="C4" s="302"/>
      <c r="D4" s="130"/>
      <c r="E4" s="130"/>
      <c r="F4" s="170"/>
      <c r="H4" s="438"/>
      <c r="I4" s="130"/>
      <c r="J4" s="130"/>
      <c r="K4" s="130"/>
      <c r="L4" s="130"/>
      <c r="M4" s="130"/>
      <c r="N4" s="148"/>
      <c r="O4" s="633"/>
      <c r="P4" s="634"/>
      <c r="Q4" s="635"/>
    </row>
    <row r="5" spans="1:17" ht="52.25" customHeight="1">
      <c r="A5" s="338"/>
      <c r="B5" s="173"/>
      <c r="C5" s="687" t="s">
        <v>4062</v>
      </c>
      <c r="D5" s="687"/>
      <c r="E5" s="687"/>
      <c r="F5" s="687"/>
      <c r="G5" s="687"/>
      <c r="H5" s="687"/>
      <c r="I5" s="687"/>
      <c r="J5" s="687"/>
      <c r="K5" s="687"/>
      <c r="L5" s="687"/>
      <c r="M5" s="687"/>
      <c r="N5" s="148"/>
      <c r="O5" s="633"/>
      <c r="P5" s="634"/>
      <c r="Q5" s="635"/>
    </row>
    <row r="6" spans="1:17" ht="31.75" customHeight="1">
      <c r="A6" s="341" t="s">
        <v>3357</v>
      </c>
      <c r="B6" s="173"/>
      <c r="C6" s="687"/>
      <c r="D6" s="687"/>
      <c r="E6" s="687"/>
      <c r="F6" s="687"/>
      <c r="G6" s="687"/>
      <c r="H6" s="687"/>
      <c r="I6" s="687"/>
      <c r="J6" s="687"/>
      <c r="K6" s="687"/>
      <c r="L6" s="687"/>
      <c r="M6" s="687"/>
      <c r="N6" s="148"/>
      <c r="O6" s="639"/>
      <c r="P6" s="640"/>
      <c r="Q6" s="641"/>
    </row>
    <row r="7" spans="1:17" ht="31.75" customHeight="1">
      <c r="A7" s="339" t="s">
        <v>3434</v>
      </c>
      <c r="B7" s="173"/>
      <c r="C7" s="687"/>
      <c r="D7" s="687"/>
      <c r="E7" s="687"/>
      <c r="F7" s="687"/>
      <c r="G7" s="687"/>
      <c r="H7" s="687"/>
      <c r="I7" s="687"/>
      <c r="J7" s="687"/>
      <c r="K7" s="687"/>
      <c r="L7" s="687"/>
      <c r="M7" s="687"/>
      <c r="N7" s="148"/>
      <c r="O7" s="246" t="s">
        <v>3458</v>
      </c>
      <c r="P7" s="343"/>
      <c r="Q7" s="344"/>
    </row>
    <row r="8" spans="1:17" ht="31.75" customHeight="1">
      <c r="A8" s="339" t="s">
        <v>7</v>
      </c>
      <c r="B8" s="173"/>
      <c r="C8" s="687"/>
      <c r="D8" s="687"/>
      <c r="E8" s="687"/>
      <c r="F8" s="687"/>
      <c r="G8" s="687"/>
      <c r="H8" s="687"/>
      <c r="I8" s="687"/>
      <c r="J8" s="687"/>
      <c r="K8" s="687"/>
      <c r="L8" s="687"/>
      <c r="M8" s="687"/>
      <c r="N8" s="148"/>
      <c r="O8" s="633"/>
      <c r="P8" s="634"/>
      <c r="Q8" s="635"/>
    </row>
    <row r="9" spans="1:17" ht="31.75" customHeight="1">
      <c r="A9" s="339" t="s">
        <v>3427</v>
      </c>
      <c r="B9" s="173"/>
      <c r="C9" s="687"/>
      <c r="D9" s="687"/>
      <c r="E9" s="687"/>
      <c r="F9" s="687"/>
      <c r="G9" s="687"/>
      <c r="H9" s="687"/>
      <c r="I9" s="687"/>
      <c r="J9" s="687"/>
      <c r="K9" s="687"/>
      <c r="L9" s="687"/>
      <c r="M9" s="687"/>
      <c r="N9" s="148"/>
      <c r="O9" s="633"/>
      <c r="P9" s="634"/>
      <c r="Q9" s="635"/>
    </row>
    <row r="10" spans="1:17" ht="31.75" customHeight="1">
      <c r="A10" s="340" t="s">
        <v>10</v>
      </c>
      <c r="B10" s="173"/>
      <c r="C10" s="687"/>
      <c r="D10" s="687"/>
      <c r="E10" s="687"/>
      <c r="F10" s="687"/>
      <c r="G10" s="687"/>
      <c r="H10" s="687"/>
      <c r="I10" s="687"/>
      <c r="J10" s="687"/>
      <c r="K10" s="687"/>
      <c r="L10" s="687"/>
      <c r="M10" s="687"/>
      <c r="N10" s="148"/>
      <c r="O10" s="633"/>
      <c r="P10" s="634"/>
      <c r="Q10" s="635"/>
    </row>
    <row r="11" spans="1:17" ht="22.25" customHeight="1">
      <c r="A11" s="340" t="s">
        <v>3645</v>
      </c>
      <c r="B11" s="173"/>
      <c r="C11" s="687"/>
      <c r="D11" s="687"/>
      <c r="E11" s="687"/>
      <c r="F11" s="687"/>
      <c r="G11" s="687"/>
      <c r="H11" s="687"/>
      <c r="I11" s="687"/>
      <c r="J11" s="687"/>
      <c r="K11" s="687"/>
      <c r="L11" s="687"/>
      <c r="M11" s="687"/>
      <c r="N11" s="148"/>
      <c r="O11" s="633"/>
      <c r="P11" s="634"/>
      <c r="Q11" s="635"/>
    </row>
    <row r="12" spans="1:17" ht="32.4" customHeight="1">
      <c r="A12" s="339" t="s">
        <v>3431</v>
      </c>
      <c r="B12" s="173"/>
      <c r="C12" s="687"/>
      <c r="D12" s="687"/>
      <c r="E12" s="687"/>
      <c r="F12" s="687"/>
      <c r="G12" s="687"/>
      <c r="H12" s="687"/>
      <c r="I12" s="687"/>
      <c r="J12" s="687"/>
      <c r="K12" s="687"/>
      <c r="L12" s="687"/>
      <c r="M12" s="687"/>
      <c r="N12" s="148"/>
      <c r="O12" s="633"/>
      <c r="P12" s="634"/>
      <c r="Q12" s="635"/>
    </row>
    <row r="13" spans="1:17" ht="22.25" customHeight="1">
      <c r="A13" s="340" t="s">
        <v>5</v>
      </c>
      <c r="B13" s="173"/>
      <c r="C13" s="687"/>
      <c r="D13" s="687"/>
      <c r="E13" s="687"/>
      <c r="F13" s="687"/>
      <c r="G13" s="687"/>
      <c r="H13" s="687"/>
      <c r="I13" s="687"/>
      <c r="J13" s="687"/>
      <c r="K13" s="687"/>
      <c r="L13" s="687"/>
      <c r="M13" s="687"/>
      <c r="N13" s="148"/>
      <c r="O13" s="633"/>
      <c r="P13" s="634"/>
      <c r="Q13" s="635"/>
    </row>
    <row r="14" spans="1:17">
      <c r="A14" s="339" t="s">
        <v>6</v>
      </c>
      <c r="B14" s="173"/>
      <c r="C14" s="444"/>
      <c r="D14" s="444"/>
      <c r="E14" s="444"/>
      <c r="F14" s="444"/>
      <c r="G14" s="444"/>
      <c r="H14" s="444"/>
      <c r="I14" s="444"/>
      <c r="J14" s="444"/>
      <c r="K14" s="444"/>
      <c r="L14" s="444"/>
      <c r="M14" s="444"/>
      <c r="N14" s="148"/>
      <c r="O14" s="633"/>
      <c r="P14" s="634"/>
      <c r="Q14" s="635"/>
    </row>
    <row r="15" spans="1:17">
      <c r="A15" s="340" t="s">
        <v>12</v>
      </c>
      <c r="B15" s="173"/>
      <c r="C15" s="444"/>
      <c r="D15" s="444"/>
      <c r="E15" s="444"/>
      <c r="F15" s="444"/>
      <c r="G15" s="444"/>
      <c r="H15" s="444"/>
      <c r="I15" s="444"/>
      <c r="J15" s="444"/>
      <c r="K15" s="444"/>
      <c r="L15" s="444"/>
      <c r="M15" s="444"/>
      <c r="N15" s="148"/>
      <c r="O15" s="633"/>
      <c r="P15" s="634"/>
      <c r="Q15" s="635"/>
    </row>
    <row r="16" spans="1:17" ht="17.5">
      <c r="A16" s="340" t="s">
        <v>14</v>
      </c>
      <c r="B16" s="173"/>
      <c r="C16" s="302"/>
      <c r="D16" s="130"/>
      <c r="E16" s="130"/>
      <c r="F16" s="170"/>
      <c r="H16" s="438"/>
      <c r="I16" s="130"/>
      <c r="J16" s="130"/>
      <c r="K16" s="130"/>
      <c r="L16" s="130"/>
      <c r="M16" s="130"/>
      <c r="N16" s="148"/>
      <c r="O16" s="633"/>
      <c r="P16" s="634"/>
      <c r="Q16" s="635"/>
    </row>
    <row r="17" spans="1:17">
      <c r="A17" s="339" t="s">
        <v>3426</v>
      </c>
      <c r="B17" s="173"/>
      <c r="C17" s="642" t="s">
        <v>3421</v>
      </c>
      <c r="D17" s="643"/>
      <c r="E17" s="643"/>
      <c r="F17" s="643"/>
      <c r="G17" s="643"/>
      <c r="H17" s="643"/>
      <c r="I17" s="643"/>
      <c r="J17" s="643"/>
      <c r="K17" s="643"/>
      <c r="L17" s="643"/>
      <c r="M17" s="643"/>
      <c r="N17" s="148"/>
      <c r="O17" s="633"/>
      <c r="P17" s="634"/>
      <c r="Q17" s="635"/>
    </row>
    <row r="18" spans="1:17" ht="21.65" customHeight="1">
      <c r="A18" s="340" t="s">
        <v>3918</v>
      </c>
      <c r="B18" s="173"/>
      <c r="C18" s="689" t="s">
        <v>4063</v>
      </c>
      <c r="D18" s="690"/>
      <c r="E18" s="690"/>
      <c r="F18" s="690"/>
      <c r="G18" s="690"/>
      <c r="H18" s="690"/>
      <c r="I18" s="690"/>
      <c r="J18" s="690"/>
      <c r="K18" s="690"/>
      <c r="L18" s="690"/>
      <c r="M18" s="690"/>
      <c r="N18" s="148"/>
      <c r="O18" s="633"/>
      <c r="P18" s="634"/>
      <c r="Q18" s="635"/>
    </row>
    <row r="19" spans="1:17" ht="21.65" customHeight="1">
      <c r="A19" s="340" t="s">
        <v>3436</v>
      </c>
      <c r="B19" s="173"/>
      <c r="C19" s="690"/>
      <c r="D19" s="690"/>
      <c r="E19" s="690"/>
      <c r="F19" s="690"/>
      <c r="G19" s="690"/>
      <c r="H19" s="690"/>
      <c r="I19" s="690"/>
      <c r="J19" s="690"/>
      <c r="K19" s="690"/>
      <c r="L19" s="690"/>
      <c r="M19" s="690"/>
      <c r="N19" s="148"/>
      <c r="O19" s="633"/>
      <c r="P19" s="634"/>
      <c r="Q19" s="635"/>
    </row>
    <row r="20" spans="1:17" ht="21.65" customHeight="1">
      <c r="A20" s="340" t="s">
        <v>3378</v>
      </c>
      <c r="B20" s="173"/>
      <c r="C20" s="690"/>
      <c r="D20" s="690"/>
      <c r="E20" s="690"/>
      <c r="F20" s="690"/>
      <c r="G20" s="690"/>
      <c r="H20" s="690"/>
      <c r="I20" s="690"/>
      <c r="J20" s="690"/>
      <c r="K20" s="690"/>
      <c r="L20" s="690"/>
      <c r="M20" s="690"/>
      <c r="N20" s="148"/>
      <c r="O20" s="633"/>
      <c r="P20" s="634"/>
      <c r="Q20" s="635"/>
    </row>
    <row r="21" spans="1:17" ht="33.65" customHeight="1">
      <c r="A21" s="339" t="s">
        <v>3430</v>
      </c>
      <c r="B21" s="173"/>
      <c r="C21" s="690"/>
      <c r="D21" s="690"/>
      <c r="E21" s="690"/>
      <c r="F21" s="690"/>
      <c r="G21" s="690"/>
      <c r="H21" s="690"/>
      <c r="I21" s="690"/>
      <c r="J21" s="690"/>
      <c r="K21" s="690"/>
      <c r="L21" s="690"/>
      <c r="M21" s="690"/>
      <c r="N21" s="148"/>
      <c r="O21" s="633"/>
      <c r="P21" s="634"/>
      <c r="Q21" s="635"/>
    </row>
    <row r="22" spans="1:17">
      <c r="A22" s="340" t="s">
        <v>3433</v>
      </c>
      <c r="B22" s="173"/>
      <c r="C22" s="130"/>
      <c r="D22" s="130"/>
      <c r="E22" s="130"/>
      <c r="F22" s="130"/>
      <c r="G22" s="130"/>
      <c r="H22" s="130"/>
      <c r="I22" s="130"/>
      <c r="J22" s="130"/>
      <c r="K22" s="130"/>
      <c r="L22" s="130"/>
      <c r="M22" s="130"/>
      <c r="N22" s="148"/>
      <c r="O22" s="633"/>
      <c r="P22" s="634"/>
      <c r="Q22" s="635"/>
    </row>
    <row r="23" spans="1:17">
      <c r="A23" s="340" t="s">
        <v>3428</v>
      </c>
      <c r="B23" s="173"/>
      <c r="C23" s="130"/>
      <c r="D23" s="650" t="s">
        <v>3420</v>
      </c>
      <c r="E23" s="650"/>
      <c r="F23" s="650" t="s">
        <v>3419</v>
      </c>
      <c r="G23" s="650"/>
      <c r="H23" s="188" t="s">
        <v>3460</v>
      </c>
      <c r="I23" s="130"/>
      <c r="J23" s="130"/>
      <c r="K23" s="130"/>
      <c r="L23" s="130"/>
      <c r="M23" s="130"/>
      <c r="N23" s="148"/>
      <c r="O23" s="633"/>
      <c r="P23" s="634"/>
      <c r="Q23" s="635"/>
    </row>
    <row r="24" spans="1:17" ht="25">
      <c r="A24" s="340" t="s">
        <v>11</v>
      </c>
      <c r="B24" s="173"/>
      <c r="C24" s="289" t="s">
        <v>3531</v>
      </c>
      <c r="D24" s="397" t="s">
        <v>3671</v>
      </c>
      <c r="E24" s="289" t="s">
        <v>3450</v>
      </c>
      <c r="F24" s="397" t="s">
        <v>3881</v>
      </c>
      <c r="G24" s="397" t="s">
        <v>84</v>
      </c>
      <c r="H24" s="289" t="s">
        <v>3423</v>
      </c>
      <c r="I24" s="544" t="s">
        <v>4075</v>
      </c>
      <c r="J24" s="117" t="s">
        <v>83</v>
      </c>
      <c r="L24" s="130"/>
      <c r="M24" s="117" t="s">
        <v>99</v>
      </c>
      <c r="N24" s="148"/>
      <c r="O24" s="633"/>
      <c r="P24" s="634"/>
      <c r="Q24" s="635"/>
    </row>
    <row r="25" spans="1:17" ht="37.5">
      <c r="A25" s="340" t="s">
        <v>13</v>
      </c>
      <c r="B25" s="173"/>
      <c r="C25" s="164"/>
      <c r="D25" s="165"/>
      <c r="E25" s="164"/>
      <c r="F25" s="165"/>
      <c r="G25" s="164"/>
      <c r="H25" s="164"/>
      <c r="I25" s="164"/>
      <c r="J25" s="132">
        <f>IFERROR(IF(ISBLANK(E25),IF(ISBLANK(G25),IF(('1_Votre Structure'!$E$6)-(I25)&lt;=$M$25,(H25*10^-3)*'BDD FE'!$C$473*10^-3/$M$25,0),IF(('1_Votre Structure'!$E$6)-(I25)&lt;=$M$25,G25*VLOOKUP(F25,'BDD FE'!$B$513:$C$522,2,FALSE)*10^-3/$M$25,0)),IF(('1_Votre Structure'!$E$6)-(I25)&lt;=$M$25,E25*(VLOOKUP(D25,'BDD FE'!$B$530:$C$559,2,0)*10^-3)/$M$25,0)),0)</f>
        <v>0</v>
      </c>
      <c r="L25" s="303" t="s">
        <v>97</v>
      </c>
      <c r="M25" s="353">
        <v>10</v>
      </c>
      <c r="N25" s="148"/>
      <c r="O25" s="633"/>
      <c r="P25" s="634"/>
      <c r="Q25" s="635"/>
    </row>
    <row r="26" spans="1:17">
      <c r="B26" s="173"/>
      <c r="C26" s="164"/>
      <c r="D26" s="165"/>
      <c r="E26" s="164"/>
      <c r="F26" s="165"/>
      <c r="G26" s="164"/>
      <c r="H26" s="164"/>
      <c r="I26" s="164"/>
      <c r="J26" s="132">
        <f>IFERROR(IF(ISBLANK(E26),IF(ISBLANK(G26),IF(('1_Votre Structure'!$E$6)-(I26)&lt;=$M$25,(H26*10^-3)*'BDD FE'!$C$473*10^-3/$M$25,0),IF(('1_Votre Structure'!$E$6)-(I26)&lt;=$M$25,G26*VLOOKUP(F26,'BDD FE'!$B$513:$C$522,2,FALSE)*10^-3/$M$25,0)),IF(('1_Votre Structure'!$E$6)-(I26)&lt;=$M$25,E26*(VLOOKUP(D26,'BDD FE'!$B$530:$C$559,2,0)*10^-3)/$M$25,0)),0)</f>
        <v>0</v>
      </c>
      <c r="K26" s="304"/>
      <c r="L26" s="304"/>
      <c r="M26" s="304"/>
      <c r="N26" s="148"/>
      <c r="O26" s="639"/>
      <c r="P26" s="640"/>
      <c r="Q26" s="641"/>
    </row>
    <row r="27" spans="1:17" ht="17.399999999999999" customHeight="1">
      <c r="B27" s="173"/>
      <c r="C27" s="164"/>
      <c r="D27" s="165"/>
      <c r="E27" s="164"/>
      <c r="F27" s="165"/>
      <c r="G27" s="164"/>
      <c r="H27" s="164"/>
      <c r="I27" s="164"/>
      <c r="J27" s="132">
        <f>IFERROR(IF(ISBLANK(E27),IF(ISBLANK(G27),IF(('1_Votre Structure'!$E$6)-(I27)&lt;=$M$25,(H27*10^-3)*'BDD FE'!$C$473*10^-3/$M$25,0),IF(('1_Votre Structure'!$E$6)-(I27)&lt;=$M$25,G27*VLOOKUP(F27,'BDD FE'!$B$513:$C$522,2,FALSE)*10^-3/$M$25,0)),IF(('1_Votre Structure'!$E$6)-(I27)&lt;=$M$25,E27*(VLOOKUP(D27,'BDD FE'!$B$530:$C$559,2,0)*10^-3)/$M$25,0)),0)</f>
        <v>0</v>
      </c>
      <c r="K27" s="304"/>
      <c r="L27" s="304"/>
      <c r="M27" s="304"/>
      <c r="N27" s="148"/>
      <c r="O27" s="678" t="s">
        <v>3459</v>
      </c>
      <c r="P27" s="679"/>
      <c r="Q27" s="680"/>
    </row>
    <row r="28" spans="1:17">
      <c r="B28" s="173"/>
      <c r="C28" s="164"/>
      <c r="D28" s="165"/>
      <c r="E28" s="164"/>
      <c r="F28" s="165"/>
      <c r="G28" s="164"/>
      <c r="H28" s="164"/>
      <c r="I28" s="164"/>
      <c r="J28" s="132">
        <f>IFERROR(IF(ISBLANK(E28),IF(ISBLANK(G28),IF(('1_Votre Structure'!$E$6)-(I28)&lt;=$M$25,(H28*10^-3)*'BDD FE'!$C$473*10^-3/$M$25,0),IF(('1_Votre Structure'!$E$6)-(I28)&lt;=$M$25,G28*VLOOKUP(F28,'BDD FE'!$B$513:$C$522,2,FALSE)*10^-3/$M$25,0)),IF(('1_Votre Structure'!$E$6)-(I28)&lt;=$M$25,E28*(VLOOKUP(D28,'BDD FE'!$B$530:$C$559,2,0)*10^-3)/$M$25,0)),0)</f>
        <v>0</v>
      </c>
      <c r="K28" s="304"/>
      <c r="L28" s="304"/>
      <c r="M28" s="304"/>
      <c r="N28" s="148"/>
      <c r="O28" s="681"/>
      <c r="P28" s="682"/>
      <c r="Q28" s="683"/>
    </row>
    <row r="29" spans="1:17">
      <c r="B29" s="173"/>
      <c r="C29" s="164"/>
      <c r="D29" s="165"/>
      <c r="E29" s="164"/>
      <c r="F29" s="165"/>
      <c r="G29" s="164"/>
      <c r="H29" s="164"/>
      <c r="I29" s="164"/>
      <c r="J29" s="132">
        <f>IFERROR(IF(ISBLANK(E29),IF(ISBLANK(G29),IF(('1_Votre Structure'!$E$6)-(I29)&lt;=$M$25,(H29*10^-3)*'BDD FE'!$C$473*10^-3/$M$25,0),IF(('1_Votre Structure'!$E$6)-(I29)&lt;=$M$25,G29*VLOOKUP(F29,'BDD FE'!$B$513:$C$522,2,FALSE)*10^-3/$M$25,0)),IF(('1_Votre Structure'!$E$6)-(I29)&lt;=$M$25,E29*(VLOOKUP(D29,'BDD FE'!$B$530:$C$559,2,0)*10^-3)/$M$25,0)),0)</f>
        <v>0</v>
      </c>
      <c r="K29" s="304"/>
      <c r="L29" s="304"/>
      <c r="M29" s="304"/>
      <c r="N29" s="148"/>
      <c r="O29" s="681"/>
      <c r="P29" s="682"/>
      <c r="Q29" s="683"/>
    </row>
    <row r="30" spans="1:17">
      <c r="B30" s="173"/>
      <c r="C30" s="164"/>
      <c r="D30" s="165"/>
      <c r="E30" s="164"/>
      <c r="F30" s="165"/>
      <c r="G30" s="164"/>
      <c r="H30" s="164"/>
      <c r="I30" s="164"/>
      <c r="J30" s="132">
        <f>IFERROR(IF(ISBLANK(E30),IF(ISBLANK(G30),IF(('1_Votre Structure'!$E$6)-(I30)&lt;=$M$25,(H30*10^-3)*'BDD FE'!$C$473*10^-3/$M$25,0),IF(('1_Votre Structure'!$E$6)-(I30)&lt;=$M$25,G30*VLOOKUP(F30,'BDD FE'!$B$513:$C$522,2,FALSE)*10^-3/$M$25,0)),IF(('1_Votre Structure'!$E$6)-(I30)&lt;=$M$25,E30*(VLOOKUP(D30,'BDD FE'!$B$530:$C$559,2,0)*10^-3)/$M$25,0)),0)</f>
        <v>0</v>
      </c>
      <c r="N30" s="148"/>
      <c r="O30" s="681"/>
      <c r="P30" s="682"/>
      <c r="Q30" s="683"/>
    </row>
    <row r="31" spans="1:17">
      <c r="B31" s="173"/>
      <c r="C31" s="164"/>
      <c r="D31" s="165"/>
      <c r="E31" s="164"/>
      <c r="F31" s="165"/>
      <c r="G31" s="164"/>
      <c r="H31" s="164"/>
      <c r="I31" s="164"/>
      <c r="J31" s="132">
        <f>IFERROR(IF(ISBLANK(E31),IF(ISBLANK(G31),IF(('1_Votre Structure'!$E$6)-(I31)&lt;=$M$25,(H31*10^-3)*'BDD FE'!$C$473*10^-3/$M$25,0),IF(('1_Votre Structure'!$E$6)-(I31)&lt;=$M$25,G31*VLOOKUP(F31,'BDD FE'!$B$513:$C$522,2,FALSE)*10^-3/$M$25,0)),IF(('1_Votre Structure'!$E$6)-(I31)&lt;=$M$25,E31*(VLOOKUP(D31,'BDD FE'!$B$530:$C$559,2,0)*10^-3)/$M$25,0)),0)</f>
        <v>0</v>
      </c>
      <c r="K31" s="130"/>
      <c r="L31" s="187"/>
      <c r="M31" s="187"/>
      <c r="N31" s="148"/>
      <c r="O31" s="681"/>
      <c r="P31" s="682"/>
      <c r="Q31" s="683"/>
    </row>
    <row r="32" spans="1:17" ht="27.65" customHeight="1">
      <c r="B32" s="173"/>
      <c r="C32" s="164"/>
      <c r="D32" s="165"/>
      <c r="E32" s="164"/>
      <c r="F32" s="165"/>
      <c r="G32" s="164"/>
      <c r="H32" s="164"/>
      <c r="I32" s="164"/>
      <c r="J32" s="132">
        <f>IFERROR(IF(ISBLANK(E32),IF(ISBLANK(G32),IF(('1_Votre Structure'!$E$6)-(I32)&lt;=$M$25,(H32*10^-3)*'BDD FE'!$C$473*10^-3/$M$25,0),IF(('1_Votre Structure'!$E$6)-(I32)&lt;=$M$25,G32*VLOOKUP(F32,'BDD FE'!$B$513:$C$522,2,FALSE)*10^-3/$M$25,0)),IF(('1_Votre Structure'!$E$6)-(I32)&lt;=$M$25,E32*(VLOOKUP(D32,'BDD FE'!$B$530:$C$559,2,0)*10^-3)/$M$25,0)),0)</f>
        <v>0</v>
      </c>
      <c r="K32" s="130"/>
      <c r="L32" s="187"/>
      <c r="M32" s="187"/>
      <c r="N32" s="148"/>
      <c r="O32" s="681"/>
      <c r="P32" s="682"/>
      <c r="Q32" s="683"/>
    </row>
    <row r="33" spans="2:17" ht="27.65" customHeight="1">
      <c r="B33" s="173"/>
      <c r="C33" s="164"/>
      <c r="D33" s="165"/>
      <c r="E33" s="164"/>
      <c r="F33" s="165"/>
      <c r="G33" s="164"/>
      <c r="H33" s="164"/>
      <c r="I33" s="164"/>
      <c r="J33" s="132">
        <f>IFERROR(IF(ISBLANK(E33),IF(ISBLANK(G33),IF(('1_Votre Structure'!$E$6)-(I33)&lt;=$M$25,(H33*10^-3)*'BDD FE'!$C$473*10^-3/$M$25,0),IF(('1_Votre Structure'!$E$6)-(I33)&lt;=$M$25,G33*VLOOKUP(F33,'BDD FE'!$B$513:$C$522,2,FALSE)*10^-3/$M$25,0)),IF(('1_Votre Structure'!$E$6)-(I33)&lt;=$M$25,E33*(VLOOKUP(D33,'BDD FE'!$B$530:$C$559,2,0)*10^-3)/$M$25,0)),0)</f>
        <v>0</v>
      </c>
      <c r="K33" s="130"/>
      <c r="L33" s="187"/>
      <c r="M33" s="187"/>
      <c r="N33" s="148"/>
      <c r="O33" s="681"/>
      <c r="P33" s="682"/>
      <c r="Q33" s="683"/>
    </row>
    <row r="34" spans="2:17" ht="27.65" customHeight="1">
      <c r="B34" s="173"/>
      <c r="C34" s="164"/>
      <c r="D34" s="165"/>
      <c r="E34" s="164"/>
      <c r="F34" s="165"/>
      <c r="G34" s="164"/>
      <c r="H34" s="164"/>
      <c r="I34" s="164"/>
      <c r="J34" s="132">
        <f>IFERROR(IF(ISBLANK(E34),IF(ISBLANK(G34),IF(('1_Votre Structure'!$E$6)-(I34)&lt;=$M$25,(H34*10^-3)*'BDD FE'!$C$473*10^-3/$M$25,0),IF(('1_Votre Structure'!$E$6)-(I34)&lt;=$M$25,G34*VLOOKUP(F34,'BDD FE'!$B$513:$C$522,2,FALSE)*10^-3/$M$25,0)),IF(('1_Votre Structure'!$E$6)-(I34)&lt;=$M$25,E34*(VLOOKUP(D34,'BDD FE'!$B$530:$C$559,2,0)*10^-3)/$M$25,0)),0)</f>
        <v>0</v>
      </c>
      <c r="K34" s="130"/>
      <c r="L34" s="187"/>
      <c r="M34" s="187"/>
      <c r="N34" s="148"/>
      <c r="O34" s="681"/>
      <c r="P34" s="682"/>
      <c r="Q34" s="683"/>
    </row>
    <row r="35" spans="2:17" ht="27.65" customHeight="1">
      <c r="B35" s="173"/>
      <c r="C35" s="164"/>
      <c r="D35" s="165"/>
      <c r="E35" s="164"/>
      <c r="F35" s="165"/>
      <c r="G35" s="164"/>
      <c r="H35" s="164"/>
      <c r="I35" s="164"/>
      <c r="J35" s="132">
        <f>IFERROR(IF(ISBLANK(E35),IF(ISBLANK(G35),IF(('1_Votre Structure'!$E$6)-(I35)&lt;=$M$25,(H35*10^-3)*'BDD FE'!$C$473*10^-3/$M$25,0),IF(('1_Votre Structure'!$E$6)-(I35)&lt;=$M$25,G35*VLOOKUP(F35,'BDD FE'!$B$513:$C$522,2,FALSE)*10^-3/$M$25,0)),IF(('1_Votre Structure'!$E$6)-(I35)&lt;=$M$25,E35*(VLOOKUP(D35,'BDD FE'!$B$530:$C$559,2,0)*10^-3)/$M$25,0)),0)</f>
        <v>0</v>
      </c>
      <c r="K35" s="130"/>
      <c r="L35" s="187"/>
      <c r="M35" s="187"/>
      <c r="N35" s="148"/>
      <c r="O35" s="681"/>
      <c r="P35" s="682"/>
      <c r="Q35" s="683"/>
    </row>
    <row r="36" spans="2:17" ht="27.65" customHeight="1">
      <c r="B36" s="173"/>
      <c r="C36" s="164"/>
      <c r="D36" s="165"/>
      <c r="E36" s="164"/>
      <c r="F36" s="165"/>
      <c r="G36" s="164"/>
      <c r="H36" s="164"/>
      <c r="I36" s="164"/>
      <c r="J36" s="132">
        <f>IFERROR(IF(ISBLANK(E36),IF(ISBLANK(G36),IF(('1_Votre Structure'!$E$6)-(I36)&lt;=$M$25,(H36*10^-3)*'BDD FE'!$C$473*10^-3/$M$25,0),IF(('1_Votre Structure'!$E$6)-(I36)&lt;=$M$25,G36*VLOOKUP(F36,'BDD FE'!$B$513:$C$522,2,FALSE)*10^-3/$M$25,0)),IF(('1_Votre Structure'!$E$6)-(I36)&lt;=$M$25,E36*(VLOOKUP(D36,'BDD FE'!$B$530:$C$559,2,0)*10^-3)/$M$25,0)),0)</f>
        <v>0</v>
      </c>
      <c r="K36" s="130"/>
      <c r="L36" s="187"/>
      <c r="M36" s="187"/>
      <c r="N36" s="148"/>
      <c r="O36" s="681"/>
      <c r="P36" s="682"/>
      <c r="Q36" s="683"/>
    </row>
    <row r="37" spans="2:17">
      <c r="B37" s="173"/>
      <c r="C37" s="130"/>
      <c r="D37" s="130"/>
      <c r="E37" s="130"/>
      <c r="H37" s="130"/>
      <c r="I37" s="130"/>
      <c r="J37" s="132">
        <f>SUM(J25:J36)</f>
        <v>0</v>
      </c>
      <c r="K37" s="130"/>
      <c r="L37" s="187"/>
      <c r="M37" s="187"/>
      <c r="N37" s="148"/>
      <c r="O37" s="681"/>
      <c r="P37" s="682"/>
      <c r="Q37" s="683"/>
    </row>
    <row r="38" spans="2:17">
      <c r="B38" s="173"/>
      <c r="C38" s="130"/>
      <c r="D38" s="130"/>
      <c r="E38" s="130"/>
      <c r="F38" s="130"/>
      <c r="G38" s="130"/>
      <c r="H38" s="130"/>
      <c r="I38" s="304"/>
      <c r="J38" s="304"/>
      <c r="K38" s="130"/>
      <c r="L38" s="187"/>
      <c r="M38" s="187"/>
      <c r="N38" s="148"/>
      <c r="O38" s="681"/>
      <c r="P38" s="682"/>
      <c r="Q38" s="683"/>
    </row>
    <row r="39" spans="2:17" ht="17.399999999999999" customHeight="1">
      <c r="B39" s="173"/>
      <c r="C39" s="302"/>
      <c r="D39" s="130"/>
      <c r="E39" s="130"/>
      <c r="F39" s="170"/>
      <c r="H39" s="438"/>
      <c r="I39" s="130"/>
      <c r="J39" s="130"/>
      <c r="K39" s="130"/>
      <c r="L39" s="130"/>
      <c r="M39" s="130"/>
      <c r="N39" s="148"/>
      <c r="O39" s="681"/>
      <c r="P39" s="682"/>
      <c r="Q39" s="683"/>
    </row>
    <row r="40" spans="2:17" ht="17.399999999999999" customHeight="1">
      <c r="B40" s="173"/>
      <c r="C40" s="302"/>
      <c r="D40" s="130"/>
      <c r="E40" s="130"/>
      <c r="F40" s="170"/>
      <c r="H40" s="438"/>
      <c r="I40" s="130"/>
      <c r="J40" s="130"/>
      <c r="K40" s="130"/>
      <c r="L40" s="130"/>
      <c r="M40" s="130"/>
      <c r="N40" s="148"/>
      <c r="O40" s="681"/>
      <c r="P40" s="682"/>
      <c r="Q40" s="683"/>
    </row>
    <row r="41" spans="2:17" ht="28.75" customHeight="1">
      <c r="B41" s="173"/>
      <c r="C41" s="302"/>
      <c r="D41" s="130"/>
      <c r="E41" s="130"/>
      <c r="F41" s="170"/>
      <c r="H41" s="438"/>
      <c r="I41" s="130"/>
      <c r="J41" s="130"/>
      <c r="K41" s="130"/>
      <c r="L41" s="130"/>
      <c r="M41" s="130"/>
      <c r="N41" s="148"/>
      <c r="O41" s="681"/>
      <c r="P41" s="682"/>
      <c r="Q41" s="683"/>
    </row>
    <row r="42" spans="2:17" ht="17.399999999999999" customHeight="1">
      <c r="B42" s="173"/>
      <c r="C42" s="642" t="s">
        <v>3370</v>
      </c>
      <c r="D42" s="643"/>
      <c r="E42" s="643"/>
      <c r="F42" s="643"/>
      <c r="G42" s="643"/>
      <c r="H42" s="643"/>
      <c r="I42" s="643"/>
      <c r="J42" s="643"/>
      <c r="K42" s="643"/>
      <c r="L42" s="643"/>
      <c r="M42" s="643"/>
      <c r="N42" s="148"/>
      <c r="O42" s="681"/>
      <c r="P42" s="682"/>
      <c r="Q42" s="683"/>
    </row>
    <row r="43" spans="2:17" ht="17.5">
      <c r="B43" s="173"/>
      <c r="C43" s="302"/>
      <c r="D43" s="130"/>
      <c r="E43" s="130"/>
      <c r="F43" s="170"/>
      <c r="H43" s="438"/>
      <c r="I43" s="130"/>
      <c r="J43" s="130"/>
      <c r="K43" s="130"/>
      <c r="L43" s="130"/>
      <c r="M43" s="130"/>
      <c r="N43" s="148"/>
      <c r="O43" s="681"/>
      <c r="P43" s="682"/>
      <c r="Q43" s="683"/>
    </row>
    <row r="44" spans="2:17" ht="22.75" customHeight="1">
      <c r="B44" s="173"/>
      <c r="C44" s="687" t="s">
        <v>4064</v>
      </c>
      <c r="D44" s="687"/>
      <c r="E44" s="687"/>
      <c r="F44" s="687"/>
      <c r="G44" s="687"/>
      <c r="H44" s="687"/>
      <c r="I44" s="687"/>
      <c r="J44" s="687"/>
      <c r="K44" s="687"/>
      <c r="L44" s="687"/>
      <c r="M44" s="687"/>
      <c r="N44" s="148"/>
      <c r="O44" s="681"/>
      <c r="P44" s="682"/>
      <c r="Q44" s="683"/>
    </row>
    <row r="45" spans="2:17" ht="22.75" customHeight="1">
      <c r="B45" s="173"/>
      <c r="C45" s="687"/>
      <c r="D45" s="687"/>
      <c r="E45" s="687"/>
      <c r="F45" s="687"/>
      <c r="G45" s="687"/>
      <c r="H45" s="687"/>
      <c r="I45" s="687"/>
      <c r="J45" s="687"/>
      <c r="K45" s="687"/>
      <c r="L45" s="687"/>
      <c r="M45" s="687"/>
      <c r="N45" s="148"/>
      <c r="O45" s="681"/>
      <c r="P45" s="682"/>
      <c r="Q45" s="683"/>
    </row>
    <row r="46" spans="2:17" ht="22.75" customHeight="1">
      <c r="B46" s="173"/>
      <c r="C46" s="687"/>
      <c r="D46" s="687"/>
      <c r="E46" s="687"/>
      <c r="F46" s="687"/>
      <c r="G46" s="687"/>
      <c r="H46" s="687"/>
      <c r="I46" s="687"/>
      <c r="J46" s="687"/>
      <c r="K46" s="687"/>
      <c r="L46" s="687"/>
      <c r="M46" s="687"/>
      <c r="N46" s="148"/>
      <c r="O46" s="681"/>
      <c r="P46" s="682"/>
      <c r="Q46" s="683"/>
    </row>
    <row r="47" spans="2:17" ht="22.75" customHeight="1">
      <c r="B47" s="173"/>
      <c r="C47" s="687"/>
      <c r="D47" s="687"/>
      <c r="E47" s="687"/>
      <c r="F47" s="687"/>
      <c r="G47" s="687"/>
      <c r="H47" s="687"/>
      <c r="I47" s="687"/>
      <c r="J47" s="687"/>
      <c r="K47" s="687"/>
      <c r="L47" s="687"/>
      <c r="M47" s="687"/>
      <c r="N47" s="148"/>
      <c r="O47" s="681"/>
      <c r="P47" s="682"/>
      <c r="Q47" s="683"/>
    </row>
    <row r="48" spans="2:17" ht="17.5">
      <c r="B48" s="173"/>
      <c r="C48" s="440"/>
      <c r="D48" s="130"/>
      <c r="E48" s="130"/>
      <c r="F48" s="170"/>
      <c r="H48" s="438"/>
      <c r="I48" s="130"/>
      <c r="J48" s="130"/>
      <c r="K48" s="130"/>
      <c r="L48" s="130"/>
      <c r="M48" s="130"/>
      <c r="N48" s="148"/>
      <c r="O48" s="681"/>
      <c r="P48" s="682"/>
      <c r="Q48" s="683"/>
    </row>
    <row r="49" spans="2:17" ht="17.5">
      <c r="B49" s="173"/>
      <c r="C49" s="377"/>
      <c r="D49" s="130"/>
      <c r="E49" s="130"/>
      <c r="F49" s="170"/>
      <c r="H49" s="438"/>
      <c r="I49" s="130"/>
      <c r="J49" s="130"/>
      <c r="K49" s="130"/>
      <c r="L49" s="130"/>
      <c r="M49" s="130"/>
      <c r="N49" s="148"/>
      <c r="O49" s="681"/>
      <c r="P49" s="682"/>
      <c r="Q49" s="683"/>
    </row>
    <row r="50" spans="2:17" ht="17.5">
      <c r="B50" s="173"/>
      <c r="C50" s="377"/>
      <c r="D50" s="130"/>
      <c r="E50" s="130"/>
      <c r="F50" s="170"/>
      <c r="H50" s="438"/>
      <c r="I50" s="130"/>
      <c r="J50" s="130"/>
      <c r="K50" s="130"/>
      <c r="L50" s="130"/>
      <c r="M50" s="130"/>
      <c r="N50" s="148"/>
      <c r="O50" s="681"/>
      <c r="P50" s="682"/>
      <c r="Q50" s="683"/>
    </row>
    <row r="51" spans="2:17" ht="17.5">
      <c r="B51" s="173"/>
      <c r="C51" s="377"/>
      <c r="D51" s="130"/>
      <c r="E51" s="130"/>
      <c r="F51" s="170"/>
      <c r="H51" s="438"/>
      <c r="I51" s="130"/>
      <c r="J51" s="130"/>
      <c r="K51" s="130"/>
      <c r="L51" s="130"/>
      <c r="M51" s="130"/>
      <c r="N51" s="148"/>
      <c r="O51" s="681"/>
      <c r="P51" s="682"/>
      <c r="Q51" s="683"/>
    </row>
    <row r="52" spans="2:17" ht="17.5">
      <c r="B52" s="173"/>
      <c r="C52" s="443"/>
      <c r="D52" s="650" t="s">
        <v>3420</v>
      </c>
      <c r="E52" s="650"/>
      <c r="F52" s="188" t="s">
        <v>3419</v>
      </c>
      <c r="G52" s="438"/>
      <c r="J52" s="130"/>
      <c r="K52" s="117" t="s">
        <v>99</v>
      </c>
      <c r="M52" s="130"/>
      <c r="N52" s="148"/>
      <c r="O52" s="681"/>
      <c r="P52" s="682"/>
      <c r="Q52" s="683"/>
    </row>
    <row r="53" spans="2:17" ht="37.5">
      <c r="B53" s="173"/>
      <c r="C53" s="397" t="s">
        <v>81</v>
      </c>
      <c r="D53" s="397" t="s">
        <v>3818</v>
      </c>
      <c r="E53" s="397" t="s">
        <v>3819</v>
      </c>
      <c r="F53" s="289" t="s">
        <v>3423</v>
      </c>
      <c r="G53" s="397" t="s">
        <v>3825</v>
      </c>
      <c r="H53" s="117" t="s">
        <v>83</v>
      </c>
      <c r="J53" s="442" t="s">
        <v>3823</v>
      </c>
      <c r="K53" s="353">
        <v>10</v>
      </c>
      <c r="M53" s="130"/>
      <c r="N53" s="148"/>
      <c r="O53" s="681"/>
      <c r="P53" s="682"/>
      <c r="Q53" s="683"/>
    </row>
    <row r="54" spans="2:17" ht="37.5">
      <c r="B54" s="173"/>
      <c r="C54" s="165"/>
      <c r="D54" s="164"/>
      <c r="E54" s="164"/>
      <c r="F54" s="164"/>
      <c r="G54" s="164"/>
      <c r="H54" s="132">
        <f>IFERROR(IF(C54='BDD FE'!$B$96,IF(ISBLANK(E54),IF(('1_Votre Structure'!$E$6)-(G54)&lt;=$K$54,F54/1000*'BDD FE'!$C$633*10^-3/$K$54,0),IF(('1_Votre Structure'!$E$6)-(G54)&lt;=$K$54,D54*E54/'12_Equipements'!$K$54*'BDD FE'!$C$96*10^-3,0)),IF(ISBLANK(E54),IF(('1_Votre Structure'!$E$6)-(G54)&lt;=$K$53,F54/1000*VLOOKUP('12_Equipements'!C54,'BDD FE'!$B$94:$C$95,2,FALSE)*10^-3,0),IF(('1_Votre Structure'!$E$6)-(G54)&lt;=$K$53,D54*E54/'12_Equipements'!$K$54*VLOOKUP('12_Equipements'!C54,'BDD FE'!$B$94:$C$95,2,FALSE)*10^-3,0))),0)</f>
        <v>0</v>
      </c>
      <c r="J54" s="442" t="s">
        <v>3824</v>
      </c>
      <c r="K54" s="353">
        <v>10</v>
      </c>
      <c r="M54" s="130"/>
      <c r="N54" s="148"/>
      <c r="O54" s="681"/>
      <c r="P54" s="682"/>
      <c r="Q54" s="683"/>
    </row>
    <row r="55" spans="2:17">
      <c r="B55" s="173"/>
      <c r="C55" s="165"/>
      <c r="D55" s="164"/>
      <c r="E55" s="164"/>
      <c r="F55" s="164"/>
      <c r="G55" s="164"/>
      <c r="H55" s="132">
        <f>IFERROR(IF(C55='BDD FE'!$B$96,IF(ISBLANK(E55),IF(('1_Votre Structure'!$E$6)-(G55)&lt;=$K$54,F55/1000*'BDD FE'!$C$633*10^-3/$K$54,0),IF(('1_Votre Structure'!$E$6)-(G55)&lt;=$K$54,D55*E55/'12_Equipements'!$K$54*'BDD FE'!$C$96*10^-3,0)),IF(ISBLANK(E55),IF(('1_Votre Structure'!$E$6)-(G55)&lt;=$K$53,F55/1000*VLOOKUP('12_Equipements'!C55,'BDD FE'!$B$94:$C$95,2,FALSE)*10^-3,0),IF(('1_Votre Structure'!$E$6)-(G55)&lt;=$K$53,D55*E55/'12_Equipements'!$K$54*VLOOKUP('12_Equipements'!C55,'BDD FE'!$B$94:$C$95,2,FALSE)*10^-3,0))),0)</f>
        <v>0</v>
      </c>
      <c r="I55" s="130"/>
      <c r="J55" s="130"/>
      <c r="K55" s="130"/>
      <c r="L55" s="130"/>
      <c r="M55" s="130"/>
      <c r="N55" s="148"/>
      <c r="O55" s="681"/>
      <c r="P55" s="682"/>
      <c r="Q55" s="683"/>
    </row>
    <row r="56" spans="2:17">
      <c r="B56" s="173"/>
      <c r="C56" s="165"/>
      <c r="D56" s="164"/>
      <c r="E56" s="164"/>
      <c r="F56" s="164"/>
      <c r="G56" s="164"/>
      <c r="H56" s="132">
        <f>IFERROR(IF(C56='BDD FE'!$B$96,IF(ISBLANK(E56),IF(('1_Votre Structure'!$E$6)-(G56)&lt;=$K$54,F56/1000*'BDD FE'!$C$633*10^-3/$K$54,0),IF(('1_Votre Structure'!$E$6)-(G56)&lt;=$K$54,D56*E56/'12_Equipements'!$K$54*'BDD FE'!$C$96*10^-3,0)),IF(ISBLANK(E56),IF(('1_Votre Structure'!$E$6)-(G56)&lt;=$K$53,F56/1000*VLOOKUP('12_Equipements'!C56,'BDD FE'!$B$94:$C$95,2,FALSE)*10^-3,0),IF(('1_Votre Structure'!$E$6)-(G56)&lt;=$K$53,D56*E56/'12_Equipements'!$K$54*VLOOKUP('12_Equipements'!C56,'BDD FE'!$B$94:$C$95,2,FALSE)*10^-3,0))),0)</f>
        <v>0</v>
      </c>
      <c r="I56" s="130"/>
      <c r="J56" s="130"/>
      <c r="K56" s="130"/>
      <c r="L56" s="130"/>
      <c r="M56" s="130"/>
      <c r="N56" s="148"/>
      <c r="O56" s="681"/>
      <c r="P56" s="682"/>
      <c r="Q56" s="683"/>
    </row>
    <row r="57" spans="2:17">
      <c r="B57" s="173"/>
      <c r="C57" s="165"/>
      <c r="D57" s="164"/>
      <c r="E57" s="164"/>
      <c r="F57" s="164"/>
      <c r="G57" s="164"/>
      <c r="H57" s="132">
        <f>IFERROR(IF(C57='BDD FE'!$B$96,IF(ISBLANK(E57),IF(('1_Votre Structure'!$E$6)-(G57)&lt;=$K$54,F57/1000*'BDD FE'!$C$633*10^-3/$K$54,0),IF(('1_Votre Structure'!$E$6)-(G57)&lt;=$K$54,D57*E57/'12_Equipements'!$K$54*'BDD FE'!$C$96*10^-3,0)),IF(ISBLANK(E57),IF(('1_Votre Structure'!$E$6)-(G57)&lt;=$K$53,F57/1000*VLOOKUP('12_Equipements'!C57,'BDD FE'!$B$94:$C$95,2,FALSE)*10^-3,0),IF(('1_Votre Structure'!$E$6)-(G57)&lt;=$K$53,D57*E57/'12_Equipements'!$K$54*VLOOKUP('12_Equipements'!C57,'BDD FE'!$B$94:$C$95,2,FALSE)*10^-3,0))),0)</f>
        <v>0</v>
      </c>
      <c r="I57" s="130"/>
      <c r="J57" s="130"/>
      <c r="K57" s="130"/>
      <c r="L57" s="130"/>
      <c r="M57" s="130"/>
      <c r="N57" s="148"/>
      <c r="O57" s="681"/>
      <c r="P57" s="682"/>
      <c r="Q57" s="683"/>
    </row>
    <row r="58" spans="2:17">
      <c r="B58" s="173"/>
      <c r="C58" s="165"/>
      <c r="D58" s="164"/>
      <c r="E58" s="164"/>
      <c r="F58" s="164"/>
      <c r="G58" s="164"/>
      <c r="H58" s="132">
        <f>IFERROR(IF(C58='BDD FE'!$B$96,IF(ISBLANK(E58),IF(('1_Votre Structure'!$E$6)-(G58)&lt;=$K$54,F58/1000*'BDD FE'!$C$633*10^-3/$K$54,0),IF(('1_Votre Structure'!$E$6)-(G58)&lt;=$K$54,D58*E58/'12_Equipements'!$K$54*'BDD FE'!$C$96*10^-3,0)),IF(ISBLANK(E58),IF(('1_Votre Structure'!$E$6)-(G58)&lt;=$K$53,F58/1000*VLOOKUP('12_Equipements'!C58,'BDD FE'!$B$94:$C$95,2,FALSE)*10^-3,0),IF(('1_Votre Structure'!$E$6)-(G58)&lt;=$K$53,D58*E58/'12_Equipements'!$K$54*VLOOKUP('12_Equipements'!C58,'BDD FE'!$B$94:$C$95,2,FALSE)*10^-3,0))),0)</f>
        <v>0</v>
      </c>
      <c r="I58" s="130"/>
      <c r="J58" s="130"/>
      <c r="K58" s="130"/>
      <c r="L58" s="130"/>
      <c r="M58" s="130"/>
      <c r="N58" s="148"/>
      <c r="O58" s="681"/>
      <c r="P58" s="682"/>
      <c r="Q58" s="683"/>
    </row>
    <row r="59" spans="2:17">
      <c r="B59" s="173"/>
      <c r="C59" s="165"/>
      <c r="D59" s="164"/>
      <c r="E59" s="164"/>
      <c r="F59" s="164"/>
      <c r="G59" s="164"/>
      <c r="H59" s="132">
        <f>IFERROR(IF(C59='BDD FE'!$B$96,IF(ISBLANK(E59),IF(('1_Votre Structure'!$E$6)-(G59)&lt;=$K$54,F59/1000*'BDD FE'!$C$633*10^-3/$K$54,0),IF(('1_Votre Structure'!$E$6)-(G59)&lt;=$K$54,D59*E59/'12_Equipements'!$K$54*'BDD FE'!$C$96*10^-3,0)),IF(ISBLANK(E59),IF(('1_Votre Structure'!$E$6)-(G59)&lt;=$K$53,F59/1000*VLOOKUP('12_Equipements'!C59,'BDD FE'!$B$94:$C$95,2,FALSE)*10^-3,0),IF(('1_Votre Structure'!$E$6)-(G59)&lt;=$K$53,D59*E59/'12_Equipements'!$K$54*VLOOKUP('12_Equipements'!C59,'BDD FE'!$B$94:$C$95,2,FALSE)*10^-3,0))),0)</f>
        <v>0</v>
      </c>
      <c r="I59" s="130"/>
      <c r="J59" s="130"/>
      <c r="K59" s="130"/>
      <c r="L59" s="130"/>
      <c r="M59" s="130"/>
      <c r="N59" s="148"/>
      <c r="O59" s="681"/>
      <c r="P59" s="682"/>
      <c r="Q59" s="683"/>
    </row>
    <row r="60" spans="2:17">
      <c r="B60" s="173"/>
      <c r="C60" s="165"/>
      <c r="D60" s="164"/>
      <c r="E60" s="164"/>
      <c r="F60" s="164"/>
      <c r="G60" s="164"/>
      <c r="H60" s="132">
        <f>IFERROR(IF(C60='BDD FE'!$B$96,IF(ISBLANK(E60),IF(('1_Votre Structure'!$E$6)-(G60)&lt;=$K$54,F60/1000*'BDD FE'!$C$633*10^-3/$K$54,0),IF(('1_Votre Structure'!$E$6)-(G60)&lt;=$K$54,D60*E60/'12_Equipements'!$K$54*'BDD FE'!$C$96*10^-3,0)),IF(ISBLANK(E60),IF(('1_Votre Structure'!$E$6)-(G60)&lt;=$K$53,F60/1000*VLOOKUP('12_Equipements'!C60,'BDD FE'!$B$94:$C$95,2,FALSE)*10^-3,0),IF(('1_Votre Structure'!$E$6)-(G60)&lt;=$K$53,D60*E60/'12_Equipements'!$K$54*VLOOKUP('12_Equipements'!C60,'BDD FE'!$B$94:$C$95,2,FALSE)*10^-3,0))),0)</f>
        <v>0</v>
      </c>
      <c r="I60" s="130"/>
      <c r="J60" s="130"/>
      <c r="K60" s="130"/>
      <c r="L60" s="130"/>
      <c r="M60" s="130"/>
      <c r="N60" s="148"/>
      <c r="O60" s="681"/>
      <c r="P60" s="682"/>
      <c r="Q60" s="683"/>
    </row>
    <row r="61" spans="2:17" ht="66.650000000000006" customHeight="1">
      <c r="B61" s="173"/>
      <c r="C61" s="302"/>
      <c r="D61" s="130"/>
      <c r="E61" s="130"/>
      <c r="F61" s="170"/>
      <c r="H61" s="132">
        <f>SUM(H54:H60)</f>
        <v>0</v>
      </c>
      <c r="I61" s="130"/>
      <c r="J61" s="130"/>
      <c r="K61" s="130"/>
      <c r="L61" s="130"/>
      <c r="M61" s="130"/>
      <c r="N61" s="148"/>
      <c r="O61" s="681"/>
      <c r="P61" s="682"/>
      <c r="Q61" s="683"/>
    </row>
    <row r="62" spans="2:17" ht="66.650000000000006" customHeight="1">
      <c r="B62" s="173"/>
      <c r="C62" s="302"/>
      <c r="D62" s="130"/>
      <c r="E62" s="130"/>
      <c r="F62" s="170"/>
      <c r="H62" s="438"/>
      <c r="I62" s="130"/>
      <c r="J62" s="130"/>
      <c r="K62" s="130"/>
      <c r="L62" s="130"/>
      <c r="M62" s="130"/>
      <c r="N62" s="148"/>
      <c r="O62" s="681"/>
      <c r="P62" s="682"/>
      <c r="Q62" s="683"/>
    </row>
    <row r="63" spans="2:17">
      <c r="B63" s="173"/>
      <c r="C63" s="642" t="s">
        <v>3855</v>
      </c>
      <c r="D63" s="643"/>
      <c r="E63" s="643"/>
      <c r="F63" s="643"/>
      <c r="G63" s="643"/>
      <c r="H63" s="643"/>
      <c r="I63" s="643"/>
      <c r="J63" s="643"/>
      <c r="K63" s="643"/>
      <c r="L63" s="643"/>
      <c r="M63" s="643"/>
      <c r="N63" s="148"/>
      <c r="O63" s="681"/>
      <c r="P63" s="682"/>
      <c r="Q63" s="683"/>
    </row>
    <row r="64" spans="2:17" ht="17.5">
      <c r="B64" s="173"/>
      <c r="C64" s="302"/>
      <c r="D64" s="130"/>
      <c r="E64" s="130"/>
      <c r="F64" s="170"/>
      <c r="H64" s="438"/>
      <c r="I64" s="130"/>
      <c r="J64" s="130"/>
      <c r="K64" s="130"/>
      <c r="L64" s="130"/>
      <c r="M64" s="130"/>
      <c r="N64" s="148"/>
      <c r="O64" s="681"/>
      <c r="P64" s="682"/>
      <c r="Q64" s="683"/>
    </row>
    <row r="65" spans="2:17" ht="27.65" customHeight="1">
      <c r="B65" s="173"/>
      <c r="C65" s="687" t="s">
        <v>4065</v>
      </c>
      <c r="D65" s="687"/>
      <c r="E65" s="687"/>
      <c r="F65" s="687"/>
      <c r="G65" s="687"/>
      <c r="H65" s="687"/>
      <c r="I65" s="687"/>
      <c r="J65" s="687"/>
      <c r="K65" s="687"/>
      <c r="L65" s="687"/>
      <c r="M65" s="687"/>
      <c r="N65" s="148"/>
      <c r="O65" s="681"/>
      <c r="P65" s="682"/>
      <c r="Q65" s="683"/>
    </row>
    <row r="66" spans="2:17" ht="27.65" customHeight="1">
      <c r="B66" s="173"/>
      <c r="C66" s="687"/>
      <c r="D66" s="687"/>
      <c r="E66" s="687"/>
      <c r="F66" s="687"/>
      <c r="G66" s="687"/>
      <c r="H66" s="687"/>
      <c r="I66" s="687"/>
      <c r="J66" s="687"/>
      <c r="K66" s="687"/>
      <c r="L66" s="687"/>
      <c r="M66" s="687"/>
      <c r="N66" s="148"/>
      <c r="O66" s="681"/>
      <c r="P66" s="682"/>
      <c r="Q66" s="683"/>
    </row>
    <row r="67" spans="2:17" ht="27.65" customHeight="1">
      <c r="B67" s="173"/>
      <c r="C67" s="687"/>
      <c r="D67" s="687"/>
      <c r="E67" s="687"/>
      <c r="F67" s="687"/>
      <c r="G67" s="687"/>
      <c r="H67" s="687"/>
      <c r="I67" s="687"/>
      <c r="J67" s="687"/>
      <c r="K67" s="687"/>
      <c r="L67" s="687"/>
      <c r="M67" s="687"/>
      <c r="N67" s="148"/>
      <c r="O67" s="681"/>
      <c r="P67" s="682"/>
      <c r="Q67" s="683"/>
    </row>
    <row r="68" spans="2:17" ht="27.65" customHeight="1">
      <c r="B68" s="173"/>
      <c r="C68" s="687"/>
      <c r="D68" s="687"/>
      <c r="E68" s="687"/>
      <c r="F68" s="687"/>
      <c r="G68" s="687"/>
      <c r="H68" s="687"/>
      <c r="I68" s="687"/>
      <c r="J68" s="687"/>
      <c r="K68" s="687"/>
      <c r="L68" s="687"/>
      <c r="M68" s="687"/>
      <c r="N68" s="148"/>
      <c r="O68" s="681"/>
      <c r="P68" s="682"/>
      <c r="Q68" s="683"/>
    </row>
    <row r="69" spans="2:17" ht="17.5">
      <c r="B69" s="173"/>
      <c r="C69" s="302"/>
      <c r="D69" s="130"/>
      <c r="E69" s="130"/>
      <c r="F69" s="170"/>
      <c r="H69" s="438"/>
      <c r="I69" s="130"/>
      <c r="J69" s="130"/>
      <c r="K69" s="130"/>
      <c r="L69" s="130"/>
      <c r="M69" s="130"/>
      <c r="N69" s="148"/>
      <c r="O69" s="681"/>
      <c r="P69" s="682"/>
      <c r="Q69" s="683"/>
    </row>
    <row r="70" spans="2:17" ht="17.5">
      <c r="B70" s="173"/>
      <c r="C70" s="302"/>
      <c r="D70" s="130"/>
      <c r="E70" s="130"/>
      <c r="F70" s="170"/>
      <c r="H70" s="438"/>
      <c r="I70" s="130"/>
      <c r="J70" s="130"/>
      <c r="K70" s="117" t="s">
        <v>99</v>
      </c>
      <c r="L70" s="130"/>
      <c r="M70" s="130"/>
      <c r="N70" s="148"/>
      <c r="O70" s="681"/>
      <c r="P70" s="682"/>
      <c r="Q70" s="683"/>
    </row>
    <row r="71" spans="2:17" ht="37.5">
      <c r="B71" s="173"/>
      <c r="C71" s="130"/>
      <c r="D71" s="650" t="s">
        <v>3420</v>
      </c>
      <c r="E71" s="650"/>
      <c r="F71" s="188" t="s">
        <v>3419</v>
      </c>
      <c r="G71" s="130"/>
      <c r="H71" s="130"/>
      <c r="I71" s="130"/>
      <c r="J71" s="303" t="s">
        <v>97</v>
      </c>
      <c r="K71" s="153">
        <v>10</v>
      </c>
      <c r="L71" s="130"/>
      <c r="M71" s="130"/>
      <c r="N71" s="148"/>
      <c r="O71" s="681"/>
      <c r="P71" s="682"/>
      <c r="Q71" s="683"/>
    </row>
    <row r="72" spans="2:17" ht="25">
      <c r="B72" s="173"/>
      <c r="C72" s="397" t="s">
        <v>3856</v>
      </c>
      <c r="D72" s="397" t="s">
        <v>3857</v>
      </c>
      <c r="E72" s="397" t="s">
        <v>3818</v>
      </c>
      <c r="F72" s="289" t="s">
        <v>3423</v>
      </c>
      <c r="G72" s="544" t="s">
        <v>4075</v>
      </c>
      <c r="H72" s="117" t="s">
        <v>83</v>
      </c>
      <c r="I72" s="130"/>
      <c r="J72" s="130"/>
      <c r="K72" s="130"/>
      <c r="L72" s="130"/>
      <c r="M72" s="130"/>
      <c r="N72" s="148"/>
      <c r="O72" s="681"/>
      <c r="P72" s="682"/>
      <c r="Q72" s="683"/>
    </row>
    <row r="73" spans="2:17">
      <c r="B73" s="173"/>
      <c r="C73" s="164"/>
      <c r="D73" s="165"/>
      <c r="E73" s="164"/>
      <c r="F73" s="164"/>
      <c r="G73" s="164"/>
      <c r="H73" s="132">
        <f>IFERROR(IF(ISBLANK(E73),IF(('1_Votre Structure'!$E$6)-(G73)&lt;=$K$71,(F73*10^-3)*'BDD FE'!$C$642*10^-3/$K$71,0),IF(('1_Votre Structure'!$E$6)-(G73)&lt;=$K$71,E73*(VLOOKUP(D73,'BDD FE'!$B$722:$C$729,2,0)*10^-3)/$K$71,0)),0)</f>
        <v>0</v>
      </c>
      <c r="I73" s="130"/>
      <c r="J73" s="130"/>
      <c r="K73" s="130"/>
      <c r="L73" s="130"/>
      <c r="M73" s="130"/>
      <c r="N73" s="148"/>
      <c r="O73" s="681"/>
      <c r="P73" s="682"/>
      <c r="Q73" s="683"/>
    </row>
    <row r="74" spans="2:17">
      <c r="B74" s="173"/>
      <c r="C74" s="164"/>
      <c r="D74" s="165"/>
      <c r="E74" s="164"/>
      <c r="F74" s="164"/>
      <c r="G74" s="164"/>
      <c r="H74" s="132">
        <f>IFERROR(IF(ISBLANK(E74),IF(('1_Votre Structure'!$E$6)-(G74)&lt;=$K$71,(F74*10^-3)*'BDD FE'!$C$642*10^-3/$K$71,0),IF(('1_Votre Structure'!$E$6)-(G74)&lt;=$K$71,E74*(VLOOKUP(D74,'BDD FE'!$B$722:$C$729,2,0)*10^-3)/$K$71,0)),0)</f>
        <v>0</v>
      </c>
      <c r="I74" s="130"/>
      <c r="J74" s="130"/>
      <c r="K74" s="130"/>
      <c r="L74" s="130"/>
      <c r="M74" s="130"/>
      <c r="N74" s="148"/>
      <c r="O74" s="681"/>
      <c r="P74" s="682"/>
      <c r="Q74" s="683"/>
    </row>
    <row r="75" spans="2:17">
      <c r="B75" s="173"/>
      <c r="C75" s="164"/>
      <c r="D75" s="165"/>
      <c r="E75" s="164"/>
      <c r="F75" s="164"/>
      <c r="G75" s="164"/>
      <c r="H75" s="132">
        <f>IFERROR(IF(ISBLANK(E75),IF(('1_Votre Structure'!$E$6)-(G75)&lt;=$K$71,(F75*10^-3)*'BDD FE'!$C$642*10^-3/$K$71,0),IF(('1_Votre Structure'!$E$6)-(G75)&lt;=$K$71,E75*(VLOOKUP(D75,'BDD FE'!$B$722:$C$729,2,0)*10^-3)/$K$71,0)),0)</f>
        <v>0</v>
      </c>
      <c r="I75" s="130"/>
      <c r="J75" s="130"/>
      <c r="K75" s="130"/>
      <c r="L75" s="130"/>
      <c r="M75" s="130"/>
      <c r="N75" s="148"/>
      <c r="O75" s="681"/>
      <c r="P75" s="682"/>
      <c r="Q75" s="683"/>
    </row>
    <row r="76" spans="2:17">
      <c r="B76" s="173"/>
      <c r="C76" s="164"/>
      <c r="D76" s="165"/>
      <c r="E76" s="164"/>
      <c r="F76" s="164"/>
      <c r="G76" s="164"/>
      <c r="H76" s="132">
        <f>IFERROR(IF(ISBLANK(E76),IF(('1_Votre Structure'!$E$6)-(G76)&lt;=$K$71,(F76*10^-3)*'BDD FE'!$C$642*10^-3/$K$71,0),IF(('1_Votre Structure'!$E$6)-(G76)&lt;=$K$71,E76*(VLOOKUP(D76,'BDD FE'!$B$722:$C$729,2,0)*10^-3)/$K$71,0)),0)</f>
        <v>0</v>
      </c>
      <c r="I76" s="130"/>
      <c r="J76" s="130"/>
      <c r="K76" s="130"/>
      <c r="L76" s="130"/>
      <c r="M76" s="130"/>
      <c r="N76" s="148"/>
      <c r="O76" s="681"/>
      <c r="P76" s="682"/>
      <c r="Q76" s="683"/>
    </row>
    <row r="77" spans="2:17">
      <c r="B77" s="173"/>
      <c r="C77" s="164"/>
      <c r="D77" s="165"/>
      <c r="E77" s="164"/>
      <c r="F77" s="164"/>
      <c r="G77" s="164"/>
      <c r="H77" s="132">
        <f>IFERROR(IF(ISBLANK(E77),IF(('1_Votre Structure'!$E$6)-(G77)&lt;=$K$71,(F77*10^-3)*'BDD FE'!$C$642*10^-3/$K$71,0),IF(('1_Votre Structure'!$E$6)-(G77)&lt;=$K$71,E77*(VLOOKUP(D77,'BDD FE'!$B$722:$C$729,2,0)*10^-3)/$K$71,0)),0)</f>
        <v>0</v>
      </c>
      <c r="I77" s="130"/>
      <c r="J77" s="130"/>
      <c r="K77" s="130"/>
      <c r="L77" s="130"/>
      <c r="M77" s="130"/>
      <c r="N77" s="148"/>
      <c r="O77" s="681"/>
      <c r="P77" s="682"/>
      <c r="Q77" s="683"/>
    </row>
    <row r="78" spans="2:17">
      <c r="B78" s="173"/>
      <c r="C78" s="164"/>
      <c r="D78" s="165"/>
      <c r="E78" s="164"/>
      <c r="F78" s="164"/>
      <c r="G78" s="164"/>
      <c r="H78" s="132">
        <f>IFERROR(IF(ISBLANK(E78),IF(('1_Votre Structure'!$E$6)-(G78)&lt;=$K$71,(F78*10^-3)*'BDD FE'!$C$642*10^-3/$K$71,0),IF(('1_Votre Structure'!$E$6)-(G78)&lt;=$K$71,E78*(VLOOKUP(D78,'BDD FE'!$B$722:$C$729,2,0)*10^-3)/$K$71,0)),0)</f>
        <v>0</v>
      </c>
      <c r="I78" s="130"/>
      <c r="J78" s="130"/>
      <c r="K78" s="130"/>
      <c r="L78" s="130"/>
      <c r="M78" s="130"/>
      <c r="N78" s="148"/>
      <c r="O78" s="681"/>
      <c r="P78" s="682"/>
      <c r="Q78" s="683"/>
    </row>
    <row r="79" spans="2:17">
      <c r="B79" s="173"/>
      <c r="C79" s="164"/>
      <c r="D79" s="165"/>
      <c r="E79" s="164"/>
      <c r="F79" s="164"/>
      <c r="G79" s="164"/>
      <c r="H79" s="132">
        <f>IFERROR(IF(ISBLANK(E79),IF(('1_Votre Structure'!$E$6)-(G79)&lt;=$K$71,(F79*10^-3)*'BDD FE'!$C$642*10^-3/$K$71,0),IF(('1_Votre Structure'!$E$6)-(G79)&lt;=$K$71,E79*(VLOOKUP(D79,'BDD FE'!$B$722:$C$729,2,0)*10^-3)/$K$71,0)),0)</f>
        <v>0</v>
      </c>
      <c r="I79" s="130"/>
      <c r="J79" s="130"/>
      <c r="K79" s="130"/>
      <c r="L79" s="130"/>
      <c r="M79" s="130"/>
      <c r="N79" s="148"/>
      <c r="O79" s="681"/>
      <c r="P79" s="682"/>
      <c r="Q79" s="683"/>
    </row>
    <row r="80" spans="2:17">
      <c r="B80" s="173"/>
      <c r="C80" s="164"/>
      <c r="D80" s="165"/>
      <c r="E80" s="164"/>
      <c r="F80" s="164"/>
      <c r="G80" s="164"/>
      <c r="H80" s="132">
        <f>IFERROR(IF(ISBLANK(E80),IF(('1_Votre Structure'!$E$6)-(G80)&lt;=$K$71,(F80*10^-3)*'BDD FE'!$C$642*10^-3/$K$71,0),IF(('1_Votre Structure'!$E$6)-(G80)&lt;=$K$71,E80*(VLOOKUP(D80,'BDD FE'!$B$722:$C$729,2,0)*10^-3)/$K$71,0)),0)</f>
        <v>0</v>
      </c>
      <c r="I80" s="130"/>
      <c r="J80" s="130"/>
      <c r="K80" s="130"/>
      <c r="L80" s="130"/>
      <c r="M80" s="130"/>
      <c r="N80" s="148"/>
      <c r="O80" s="681"/>
      <c r="P80" s="682"/>
      <c r="Q80" s="683"/>
    </row>
    <row r="81" spans="2:17">
      <c r="B81" s="173"/>
      <c r="C81" s="164"/>
      <c r="D81" s="165"/>
      <c r="E81" s="164"/>
      <c r="F81" s="164"/>
      <c r="G81" s="164"/>
      <c r="H81" s="132">
        <f>IFERROR(IF(ISBLANK(E81),IF(('1_Votre Structure'!$E$6)-(G81)&lt;=$K$71,(F81*10^-3)*'BDD FE'!$C$642*10^-3/$K$71,0),IF(('1_Votre Structure'!$E$6)-(G81)&lt;=$K$71,E81*(VLOOKUP(D81,'BDD FE'!$B$722:$C$729,2,0)*10^-3)/$K$71,0)),0)</f>
        <v>0</v>
      </c>
      <c r="I81" s="130"/>
      <c r="J81" s="130"/>
      <c r="K81" s="130"/>
      <c r="L81" s="130"/>
      <c r="M81" s="130"/>
      <c r="N81" s="148"/>
      <c r="O81" s="681"/>
      <c r="P81" s="682"/>
      <c r="Q81" s="683"/>
    </row>
    <row r="82" spans="2:17">
      <c r="B82" s="173"/>
      <c r="C82" s="164"/>
      <c r="D82" s="165"/>
      <c r="E82" s="164"/>
      <c r="F82" s="164"/>
      <c r="G82" s="164"/>
      <c r="H82" s="132">
        <f>IFERROR(IF(ISBLANK(E82),IF(('1_Votre Structure'!$E$6)-(G82)&lt;=$K$71,(F82*10^-3)*'BDD FE'!$C$642*10^-3/$K$71,0),IF(('1_Votre Structure'!$E$6)-(G82)&lt;=$K$71,E82*(VLOOKUP(D82,'BDD FE'!$B$722:$C$729,2,0)*10^-3)/$K$71,0)),0)</f>
        <v>0</v>
      </c>
      <c r="I82" s="130"/>
      <c r="J82" s="130"/>
      <c r="K82" s="130"/>
      <c r="L82" s="130"/>
      <c r="M82" s="130"/>
      <c r="N82" s="148"/>
      <c r="O82" s="681"/>
      <c r="P82" s="682"/>
      <c r="Q82" s="683"/>
    </row>
    <row r="83" spans="2:17">
      <c r="B83" s="173"/>
      <c r="C83" s="164"/>
      <c r="D83" s="165"/>
      <c r="E83" s="164"/>
      <c r="F83" s="164"/>
      <c r="G83" s="164"/>
      <c r="H83" s="132">
        <f>IFERROR(IF(ISBLANK(E83),IF(('1_Votre Structure'!$E$6)-(G83)&lt;=$K$71,(F83*10^-3)*'BDD FE'!$C$642*10^-3/$K$71,0),IF(('1_Votre Structure'!$E$6)-(G83)&lt;=$K$71,E83*(VLOOKUP(D83,'BDD FE'!$B$722:$C$729,2,0)*10^-3)/$K$71,0)),0)</f>
        <v>0</v>
      </c>
      <c r="I83" s="130"/>
      <c r="J83" s="130"/>
      <c r="K83" s="130"/>
      <c r="L83" s="130"/>
      <c r="M83" s="130"/>
      <c r="N83" s="148"/>
      <c r="O83" s="681"/>
      <c r="P83" s="682"/>
      <c r="Q83" s="683"/>
    </row>
    <row r="84" spans="2:17">
      <c r="B84" s="173"/>
      <c r="C84" s="302"/>
      <c r="D84" s="130"/>
      <c r="E84" s="130"/>
      <c r="F84" s="170"/>
      <c r="H84" s="132">
        <f>SUM(H73:H83)</f>
        <v>0</v>
      </c>
      <c r="I84" s="130"/>
      <c r="J84" s="130"/>
      <c r="K84" s="130"/>
      <c r="L84" s="130"/>
      <c r="M84" s="130"/>
      <c r="N84" s="148"/>
      <c r="O84" s="681"/>
      <c r="P84" s="682"/>
      <c r="Q84" s="683"/>
    </row>
    <row r="85" spans="2:17" ht="17.5">
      <c r="B85" s="173"/>
      <c r="C85" s="302"/>
      <c r="D85" s="130"/>
      <c r="E85" s="130"/>
      <c r="F85" s="170"/>
      <c r="H85" s="438"/>
      <c r="I85" s="130"/>
      <c r="J85" s="130"/>
      <c r="K85" s="130"/>
      <c r="L85" s="130"/>
      <c r="M85" s="130"/>
      <c r="N85" s="148"/>
      <c r="O85" s="681"/>
      <c r="P85" s="682"/>
      <c r="Q85" s="683"/>
    </row>
    <row r="86" spans="2:17">
      <c r="B86" s="173"/>
      <c r="C86" s="302"/>
      <c r="D86" s="302"/>
      <c r="E86" s="130"/>
      <c r="F86" s="130"/>
      <c r="G86" s="130"/>
      <c r="H86" s="130"/>
      <c r="I86" s="130"/>
      <c r="J86" s="130"/>
      <c r="K86" s="130"/>
      <c r="L86" s="130"/>
      <c r="M86" s="130"/>
      <c r="N86" s="148"/>
      <c r="O86" s="681"/>
      <c r="P86" s="682"/>
      <c r="Q86" s="683"/>
    </row>
    <row r="87" spans="2:17">
      <c r="B87" s="173"/>
      <c r="C87" s="642" t="s">
        <v>8</v>
      </c>
      <c r="D87" s="643"/>
      <c r="E87" s="643"/>
      <c r="F87" s="643"/>
      <c r="G87" s="643"/>
      <c r="H87" s="643"/>
      <c r="I87" s="643"/>
      <c r="J87" s="643"/>
      <c r="K87" s="643"/>
      <c r="L87" s="643"/>
      <c r="M87" s="643"/>
      <c r="N87" s="148"/>
      <c r="O87" s="681"/>
      <c r="P87" s="682"/>
      <c r="Q87" s="683"/>
    </row>
    <row r="88" spans="2:17" ht="69" customHeight="1">
      <c r="B88" s="173"/>
      <c r="C88" s="694" t="s">
        <v>4040</v>
      </c>
      <c r="D88" s="695"/>
      <c r="E88" s="695"/>
      <c r="F88" s="695"/>
      <c r="G88" s="695"/>
      <c r="H88" s="695"/>
      <c r="I88" s="695"/>
      <c r="J88" s="695"/>
      <c r="K88" s="695"/>
      <c r="L88" s="695"/>
      <c r="M88" s="695"/>
      <c r="N88" s="148"/>
      <c r="O88" s="681"/>
      <c r="P88" s="682"/>
      <c r="Q88" s="683"/>
    </row>
    <row r="89" spans="2:17" ht="69" customHeight="1">
      <c r="B89" s="173"/>
      <c r="C89" s="695"/>
      <c r="D89" s="695"/>
      <c r="E89" s="695"/>
      <c r="F89" s="695"/>
      <c r="G89" s="695"/>
      <c r="H89" s="695"/>
      <c r="I89" s="695"/>
      <c r="J89" s="695"/>
      <c r="K89" s="695"/>
      <c r="L89" s="695"/>
      <c r="M89" s="695"/>
      <c r="N89" s="148"/>
      <c r="O89" s="681"/>
      <c r="P89" s="682"/>
      <c r="Q89" s="683"/>
    </row>
    <row r="90" spans="2:17">
      <c r="B90" s="173"/>
      <c r="C90" s="130"/>
      <c r="D90" s="130"/>
      <c r="E90" s="130"/>
      <c r="F90" s="130"/>
      <c r="G90" s="130"/>
      <c r="H90" s="130"/>
      <c r="I90" s="130"/>
      <c r="J90" s="130"/>
      <c r="K90" s="130"/>
      <c r="L90" s="130"/>
      <c r="M90" s="130"/>
      <c r="N90" s="148"/>
      <c r="O90" s="681"/>
      <c r="P90" s="682"/>
      <c r="Q90" s="683"/>
    </row>
    <row r="91" spans="2:17" ht="25.5">
      <c r="B91" s="173"/>
      <c r="C91" s="182" t="s">
        <v>3361</v>
      </c>
      <c r="D91" s="117" t="s">
        <v>84</v>
      </c>
      <c r="E91" s="117" t="s">
        <v>96</v>
      </c>
      <c r="F91" s="544" t="s">
        <v>4075</v>
      </c>
      <c r="G91" s="117" t="s">
        <v>83</v>
      </c>
      <c r="H91" s="130"/>
      <c r="I91" s="183" t="s">
        <v>3362</v>
      </c>
      <c r="N91" s="148"/>
      <c r="O91" s="681"/>
      <c r="P91" s="682"/>
      <c r="Q91" s="683"/>
    </row>
    <row r="92" spans="2:17" ht="27.25" customHeight="1">
      <c r="B92" s="173"/>
      <c r="C92" s="288"/>
      <c r="D92" s="164"/>
      <c r="E92" s="165"/>
      <c r="F92" s="164"/>
      <c r="G92" s="132">
        <f>IFERROR(IF(('1_Votre Structure'!$E$6)-(F92)&lt;=VLOOKUP(C92,$I$100:$J$115,2,0),IF(E92="oui",D92*VLOOKUP(C92,'BDD FE'!$B$172:$E$190,2,0)*10^-3/VLOOKUP('12_Equipements'!C92,'12_Equipements'!$I$100:$J$115,2,0)*(1-VLOOKUP(C92,$L$100:$M$115,2,FALSE)),D92*VLOOKUP(C92,'BDD FE'!$B$172:$E$190,2,0)*10^-3/VLOOKUP('12_Equipements'!C92,'12_Equipements'!$I$100:$J$115,2,0)),0),0)</f>
        <v>0</v>
      </c>
      <c r="H92" s="130"/>
      <c r="I92" s="691" t="s">
        <v>3364</v>
      </c>
      <c r="J92" s="691"/>
      <c r="K92" s="691"/>
      <c r="L92" s="691"/>
      <c r="M92" s="691"/>
      <c r="N92" s="148"/>
      <c r="O92" s="681"/>
      <c r="P92" s="682"/>
      <c r="Q92" s="683"/>
    </row>
    <row r="93" spans="2:17" ht="20.399999999999999" customHeight="1">
      <c r="B93" s="173"/>
      <c r="C93" s="288"/>
      <c r="D93" s="164"/>
      <c r="E93" s="165"/>
      <c r="F93" s="164"/>
      <c r="G93" s="132">
        <f>IFERROR(IF(('1_Votre Structure'!$E$6)-(F93)&lt;=VLOOKUP(C93,$I$100:$J$115,2,0),IF(E93="oui",D93*VLOOKUP(C93,'BDD FE'!$B$172:$E$190,2,0)*10^-3/VLOOKUP('12_Equipements'!C93,'12_Equipements'!$I$100:$J$115,2,0)*(1-VLOOKUP(C93,$L$100:$M$115,2,FALSE)),D93*VLOOKUP(C93,'BDD FE'!$B$172:$E$190,2,0)*10^-3/VLOOKUP('12_Equipements'!C93,'12_Equipements'!$I$100:$J$115,2,0)),0),0)</f>
        <v>0</v>
      </c>
      <c r="H93" s="184"/>
      <c r="I93" s="691"/>
      <c r="J93" s="691"/>
      <c r="K93" s="691"/>
      <c r="L93" s="691"/>
      <c r="M93" s="691"/>
      <c r="N93" s="148"/>
      <c r="O93" s="681"/>
      <c r="P93" s="682"/>
      <c r="Q93" s="683"/>
    </row>
    <row r="94" spans="2:17" ht="20.399999999999999" customHeight="1">
      <c r="B94" s="173"/>
      <c r="C94" s="288"/>
      <c r="D94" s="164"/>
      <c r="E94" s="165"/>
      <c r="F94" s="164"/>
      <c r="G94" s="132">
        <f>IFERROR(IF(('1_Votre Structure'!$E$6)-(F94)&lt;=VLOOKUP(C94,$I$100:$J$115,2,0),IF(E94="oui",D94*VLOOKUP(C94,'BDD FE'!$B$172:$E$190,2,0)*10^-3/VLOOKUP('12_Equipements'!C94,'12_Equipements'!$I$100:$J$115,2,0)*(1-VLOOKUP(C94,$L$100:$M$115,2,FALSE)),D94*VLOOKUP(C94,'BDD FE'!$B$172:$E$190,2,0)*10^-3/VLOOKUP('12_Equipements'!C94,'12_Equipements'!$I$100:$J$115,2,0)),0),0)</f>
        <v>0</v>
      </c>
      <c r="H94" s="130"/>
      <c r="I94" s="691"/>
      <c r="J94" s="691"/>
      <c r="K94" s="691"/>
      <c r="L94" s="691"/>
      <c r="M94" s="691"/>
      <c r="N94" s="148"/>
      <c r="O94" s="681"/>
      <c r="P94" s="682"/>
      <c r="Q94" s="683"/>
    </row>
    <row r="95" spans="2:17" ht="20.399999999999999" customHeight="1">
      <c r="B95" s="173"/>
      <c r="C95" s="288"/>
      <c r="D95" s="164"/>
      <c r="E95" s="165"/>
      <c r="F95" s="164"/>
      <c r="G95" s="132">
        <f>IFERROR(IF(('1_Votre Structure'!$E$6)-(F95)&lt;=VLOOKUP(C95,$I$100:$J$115,2,0),IF(E95="oui",D95*VLOOKUP(C95,'BDD FE'!$B$172:$E$190,2,0)*10^-3/VLOOKUP('12_Equipements'!C95,'12_Equipements'!$I$100:$J$115,2,0)*(1-VLOOKUP(C95,$L$100:$M$115,2,FALSE)),D95*VLOOKUP(C95,'BDD FE'!$B$172:$E$190,2,0)*10^-3/VLOOKUP('12_Equipements'!C95,'12_Equipements'!$I$100:$J$115,2,0)),0),0)</f>
        <v>0</v>
      </c>
      <c r="H95" s="130"/>
      <c r="I95" s="691"/>
      <c r="J95" s="691"/>
      <c r="K95" s="691"/>
      <c r="L95" s="691"/>
      <c r="M95" s="691"/>
      <c r="N95" s="148"/>
      <c r="O95" s="681"/>
      <c r="P95" s="682"/>
      <c r="Q95" s="683"/>
    </row>
    <row r="96" spans="2:17" ht="20.399999999999999" customHeight="1">
      <c r="B96" s="173"/>
      <c r="C96" s="288"/>
      <c r="D96" s="164"/>
      <c r="E96" s="165"/>
      <c r="F96" s="164"/>
      <c r="G96" s="132">
        <f>IFERROR(IF(('1_Votre Structure'!$E$6)-(F96)&lt;=VLOOKUP(C96,$I$100:$J$115,2,0),IF(E96="oui",D96*VLOOKUP(C96,'BDD FE'!$B$172:$E$190,2,0)*10^-3/VLOOKUP('12_Equipements'!C96,'12_Equipements'!$I$100:$J$115,2,0)*(1-VLOOKUP(C96,$L$100:$M$115,2,FALSE)),D96*VLOOKUP(C96,'BDD FE'!$B$172:$E$190,2,0)*10^-3/VLOOKUP('12_Equipements'!C96,'12_Equipements'!$I$100:$J$115,2,0)),0),0)</f>
        <v>0</v>
      </c>
      <c r="H96" s="130"/>
      <c r="I96" s="691"/>
      <c r="J96" s="691"/>
      <c r="K96" s="691"/>
      <c r="L96" s="691"/>
      <c r="M96" s="691"/>
      <c r="N96" s="148"/>
      <c r="O96" s="681"/>
      <c r="P96" s="682"/>
      <c r="Q96" s="683"/>
    </row>
    <row r="97" spans="2:17">
      <c r="B97" s="173"/>
      <c r="C97" s="288"/>
      <c r="D97" s="164"/>
      <c r="E97" s="165"/>
      <c r="F97" s="164"/>
      <c r="G97" s="132">
        <f>IFERROR(IF(('1_Votre Structure'!$E$6)-(F97)&lt;=VLOOKUP(C97,$I$100:$J$115,2,0),IF(E97="oui",D97*VLOOKUP(C97,'BDD FE'!$B$172:$E$190,2,0)*10^-3/VLOOKUP('12_Equipements'!C97,'12_Equipements'!$I$100:$J$115,2,0)*(1-VLOOKUP(C97,$L$100:$M$115,2,FALSE)),D97*VLOOKUP(C97,'BDD FE'!$B$172:$E$190,2,0)*10^-3/VLOOKUP('12_Equipements'!C97,'12_Equipements'!$I$100:$J$115,2,0)),0),0)</f>
        <v>0</v>
      </c>
      <c r="H97" s="130"/>
      <c r="N97" s="148"/>
      <c r="O97" s="681"/>
      <c r="P97" s="682"/>
      <c r="Q97" s="683"/>
    </row>
    <row r="98" spans="2:17">
      <c r="B98" s="173"/>
      <c r="C98" s="288"/>
      <c r="D98" s="164"/>
      <c r="E98" s="165"/>
      <c r="F98" s="164"/>
      <c r="G98" s="132">
        <f>IFERROR(IF(('1_Votre Structure'!$E$6)-(F98)&lt;=VLOOKUP(C98,$I$100:$J$115,2,0),IF(E98="oui",D98*VLOOKUP(C98,'BDD FE'!$B$172:$E$190,2,0)*10^-3/VLOOKUP('12_Equipements'!C98,'12_Equipements'!$I$100:$J$115,2,0)*(1-VLOOKUP(C98,$L$100:$M$115,2,FALSE)),D98*VLOOKUP(C98,'BDD FE'!$B$172:$E$190,2,0)*10^-3/VLOOKUP('12_Equipements'!C98,'12_Equipements'!$I$100:$J$115,2,0)),0),0)</f>
        <v>0</v>
      </c>
      <c r="H98" s="130"/>
      <c r="I98" s="667" t="s">
        <v>97</v>
      </c>
      <c r="J98" s="668"/>
      <c r="K98" s="130"/>
      <c r="L98" s="667" t="s">
        <v>3363</v>
      </c>
      <c r="M98" s="668"/>
      <c r="N98" s="148"/>
      <c r="O98" s="681"/>
      <c r="P98" s="682"/>
      <c r="Q98" s="683"/>
    </row>
    <row r="99" spans="2:17">
      <c r="B99" s="173"/>
      <c r="C99" s="288"/>
      <c r="D99" s="164"/>
      <c r="E99" s="165"/>
      <c r="F99" s="164"/>
      <c r="G99" s="132">
        <f>IFERROR(IF(('1_Votre Structure'!$E$6)-(F99)&lt;=VLOOKUP(C99,$I$100:$J$115,2,0),IF(E99="oui",D99*VLOOKUP(C99,'BDD FE'!$B$172:$E$190,2,0)*10^-3/VLOOKUP('12_Equipements'!C99,'12_Equipements'!$I$100:$J$115,2,0)*(1-VLOOKUP(C99,$L$100:$M$115,2,FALSE)),D99*VLOOKUP(C99,'BDD FE'!$B$172:$E$190,2,0)*10^-3/VLOOKUP('12_Equipements'!C99,'12_Equipements'!$I$100:$J$115,2,0)),0),0)</f>
        <v>0</v>
      </c>
      <c r="H99" s="130"/>
      <c r="I99" s="117" t="s">
        <v>98</v>
      </c>
      <c r="J99" s="117" t="s">
        <v>99</v>
      </c>
      <c r="K99" s="130"/>
      <c r="L99" s="117" t="s">
        <v>98</v>
      </c>
      <c r="M99" s="117" t="s">
        <v>100</v>
      </c>
      <c r="N99" s="148"/>
      <c r="O99" s="681"/>
      <c r="P99" s="682"/>
      <c r="Q99" s="683"/>
    </row>
    <row r="100" spans="2:17">
      <c r="B100" s="173"/>
      <c r="C100" s="288"/>
      <c r="D100" s="164"/>
      <c r="E100" s="165"/>
      <c r="F100" s="164"/>
      <c r="G100" s="132">
        <f>IFERROR(IF(('1_Votre Structure'!$E$6)-(F100)&lt;=VLOOKUP(C100,$I$100:$J$115,2,0),IF(E100="oui",D100*VLOOKUP(C100,'BDD FE'!$B$172:$E$190,2,0)*10^-3/VLOOKUP('12_Equipements'!C100,'12_Equipements'!$I$100:$J$115,2,0)*(1-VLOOKUP(C100,$L$100:$M$115,2,FALSE)),D100*VLOOKUP(C100,'BDD FE'!$B$172:$E$190,2,0)*10^-3/VLOOKUP('12_Equipements'!C100,'12_Equipements'!$I$100:$J$115,2,0)),0),0)</f>
        <v>0</v>
      </c>
      <c r="H100" s="130"/>
      <c r="I100" s="424" t="s">
        <v>3750</v>
      </c>
      <c r="J100" s="353">
        <v>3</v>
      </c>
      <c r="K100" s="130"/>
      <c r="L100" s="424" t="s">
        <v>3750</v>
      </c>
      <c r="M100" s="502">
        <v>0</v>
      </c>
      <c r="N100" s="148"/>
      <c r="O100" s="681"/>
      <c r="P100" s="682"/>
      <c r="Q100" s="683"/>
    </row>
    <row r="101" spans="2:17">
      <c r="B101" s="173"/>
      <c r="C101" s="288"/>
      <c r="D101" s="164"/>
      <c r="E101" s="165"/>
      <c r="F101" s="164"/>
      <c r="G101" s="132">
        <f>IFERROR(IF(('1_Votre Structure'!$E$6)-(F101)&lt;=VLOOKUP(C101,$I$100:$J$115,2,0),IF(E101="oui",D101*VLOOKUP(C101,'BDD FE'!$B$172:$E$190,2,0)*10^-3/VLOOKUP('12_Equipements'!C101,'12_Equipements'!$I$100:$J$115,2,0)*(1-VLOOKUP(C101,$L$100:$M$115,2,FALSE)),D101*VLOOKUP(C101,'BDD FE'!$B$172:$E$190,2,0)*10^-3/VLOOKUP('12_Equipements'!C101,'12_Equipements'!$I$100:$J$115,2,0)),0),0)</f>
        <v>0</v>
      </c>
      <c r="H101" s="130"/>
      <c r="I101" s="424" t="s">
        <v>3744</v>
      </c>
      <c r="J101" s="353">
        <v>5</v>
      </c>
      <c r="K101" s="130"/>
      <c r="L101" s="424" t="s">
        <v>3744</v>
      </c>
      <c r="M101" s="502">
        <v>0</v>
      </c>
      <c r="N101" s="148"/>
      <c r="O101" s="684"/>
      <c r="P101" s="685"/>
      <c r="Q101" s="686"/>
    </row>
    <row r="102" spans="2:17">
      <c r="B102" s="173"/>
      <c r="C102" s="288"/>
      <c r="D102" s="164"/>
      <c r="E102" s="165"/>
      <c r="F102" s="164"/>
      <c r="G102" s="132">
        <f>IFERROR(IF(('1_Votre Structure'!$E$6)-(F102)&lt;=VLOOKUP(C102,$I$100:$J$115,2,0),IF(E102="oui",D102*VLOOKUP(C102,'BDD FE'!$B$172:$E$190,2,0)*10^-3/VLOOKUP('12_Equipements'!C102,'12_Equipements'!$I$100:$J$115,2,0)*(1-VLOOKUP(C102,$L$100:$M$115,2,FALSE)),D102*VLOOKUP(C102,'BDD FE'!$B$172:$E$190,2,0)*10^-3/VLOOKUP('12_Equipements'!C102,'12_Equipements'!$I$100:$J$115,2,0)),0),0)</f>
        <v>0</v>
      </c>
      <c r="H102" s="130"/>
      <c r="I102" s="424" t="s">
        <v>3753</v>
      </c>
      <c r="J102" s="353">
        <v>5</v>
      </c>
      <c r="K102" s="130"/>
      <c r="L102" s="424" t="s">
        <v>3753</v>
      </c>
      <c r="M102" s="502">
        <v>0</v>
      </c>
      <c r="N102" s="148"/>
      <c r="O102" s="145"/>
      <c r="Q102" s="149"/>
    </row>
    <row r="103" spans="2:17">
      <c r="B103" s="173"/>
      <c r="C103" s="288"/>
      <c r="D103" s="164"/>
      <c r="E103" s="165"/>
      <c r="F103" s="164"/>
      <c r="G103" s="132">
        <f>IFERROR(IF(('1_Votre Structure'!$E$6)-(F103)&lt;=VLOOKUP(C103,$I$100:$J$115,2,0),IF(E103="oui",D103*VLOOKUP(C103,'BDD FE'!$B$172:$E$190,2,0)*10^-3/VLOOKUP('12_Equipements'!C103,'12_Equipements'!$I$100:$J$115,2,0)*(1-VLOOKUP(C103,$L$100:$M$115,2,FALSE)),D103*VLOOKUP(C103,'BDD FE'!$B$172:$E$190,2,0)*10^-3/VLOOKUP('12_Equipements'!C103,'12_Equipements'!$I$100:$J$115,2,0)),0),0)</f>
        <v>0</v>
      </c>
      <c r="H103" s="130"/>
      <c r="I103" s="424" t="s">
        <v>3752</v>
      </c>
      <c r="J103" s="353">
        <v>3</v>
      </c>
      <c r="K103" s="130"/>
      <c r="L103" s="424" t="s">
        <v>3752</v>
      </c>
      <c r="M103" s="502">
        <v>0</v>
      </c>
      <c r="N103" s="148"/>
      <c r="O103" s="145"/>
      <c r="Q103" s="149"/>
    </row>
    <row r="104" spans="2:17" ht="14.4" customHeight="1">
      <c r="B104" s="173"/>
      <c r="C104" s="288"/>
      <c r="D104" s="164"/>
      <c r="E104" s="165"/>
      <c r="F104" s="164"/>
      <c r="G104" s="132">
        <f>IFERROR(IF(('1_Votre Structure'!$E$6)-(F104)&lt;=VLOOKUP(C104,$I$100:$J$115,2,0),IF(E104="oui",D104*VLOOKUP(C104,'BDD FE'!$B$172:$E$190,2,0)*10^-3/VLOOKUP('12_Equipements'!C104,'12_Equipements'!$I$100:$J$115,2,0)*(1-VLOOKUP(C104,$L$100:$M$115,2,FALSE)),D104*VLOOKUP(C104,'BDD FE'!$B$172:$E$190,2,0)*10^-3/VLOOKUP('12_Equipements'!C104,'12_Equipements'!$I$100:$J$115,2,0)),0),0)</f>
        <v>0</v>
      </c>
      <c r="H104" s="130"/>
      <c r="I104" s="424" t="s">
        <v>3407</v>
      </c>
      <c r="J104" s="353">
        <v>5</v>
      </c>
      <c r="K104" s="130"/>
      <c r="L104" s="424" t="s">
        <v>3407</v>
      </c>
      <c r="M104" s="502">
        <v>0</v>
      </c>
      <c r="N104" s="148"/>
      <c r="O104" s="145"/>
      <c r="Q104" s="149"/>
    </row>
    <row r="105" spans="2:17">
      <c r="B105" s="173"/>
      <c r="C105" s="288"/>
      <c r="D105" s="164"/>
      <c r="E105" s="165"/>
      <c r="F105" s="164"/>
      <c r="G105" s="132">
        <f>IFERROR(IF(('1_Votre Structure'!$E$6)-(F105)&lt;=VLOOKUP(C105,$I$100:$J$115,2,0),IF(E105="oui",D105*VLOOKUP(C105,'BDD FE'!$B$172:$E$190,2,0)*10^-3/VLOOKUP('12_Equipements'!C105,'12_Equipements'!$I$100:$J$115,2,0)*(1-VLOOKUP(C105,$L$100:$M$115,2,FALSE)),D105*VLOOKUP(C105,'BDD FE'!$B$172:$E$190,2,0)*10^-3/VLOOKUP('12_Equipements'!C105,'12_Equipements'!$I$100:$J$115,2,0)),0),0)</f>
        <v>0</v>
      </c>
      <c r="H105" s="130"/>
      <c r="I105" s="424" t="s">
        <v>3749</v>
      </c>
      <c r="J105" s="353">
        <v>5</v>
      </c>
      <c r="K105" s="130"/>
      <c r="L105" s="424" t="s">
        <v>3749</v>
      </c>
      <c r="M105" s="502">
        <v>0</v>
      </c>
      <c r="N105" s="148"/>
      <c r="O105" s="145"/>
      <c r="Q105" s="149"/>
    </row>
    <row r="106" spans="2:17" ht="15" thickBot="1">
      <c r="B106" s="173"/>
      <c r="C106" s="288"/>
      <c r="D106" s="164"/>
      <c r="E106" s="165"/>
      <c r="F106" s="164"/>
      <c r="G106" s="132">
        <f>IFERROR(IF(('1_Votre Structure'!$E$6)-(F106)&lt;=VLOOKUP(C106,$I$100:$J$115,2,0),IF(E106="oui",D106*VLOOKUP(C106,'BDD FE'!$B$172:$E$190,2,0)*10^-3/VLOOKUP('12_Equipements'!C106,'12_Equipements'!$I$100:$J$115,2,0)*(1-VLOOKUP(C106,$L$100:$M$115,2,FALSE)),D106*VLOOKUP(C106,'BDD FE'!$B$172:$E$190,2,0)*10^-3/VLOOKUP('12_Equipements'!C106,'12_Equipements'!$I$100:$J$115,2,0)),0),0)</f>
        <v>0</v>
      </c>
      <c r="H106" s="130"/>
      <c r="I106" s="424" t="s">
        <v>101</v>
      </c>
      <c r="J106" s="353">
        <v>5</v>
      </c>
      <c r="K106" s="130"/>
      <c r="L106" s="424" t="s">
        <v>101</v>
      </c>
      <c r="M106" s="502">
        <v>0.7</v>
      </c>
      <c r="N106" s="148"/>
      <c r="O106" s="150"/>
      <c r="P106" s="151"/>
      <c r="Q106" s="152"/>
    </row>
    <row r="107" spans="2:17">
      <c r="B107" s="173"/>
      <c r="C107" s="288"/>
      <c r="D107" s="164"/>
      <c r="E107" s="165"/>
      <c r="F107" s="164"/>
      <c r="G107" s="132">
        <f>IFERROR(IF(('1_Votre Structure'!$E$6)-(F107)&lt;=VLOOKUP(C107,$I$100:$J$115,2,0),IF(E107="oui",D107*VLOOKUP(C107,'BDD FE'!$B$172:$E$190,2,0)*10^-3/VLOOKUP('12_Equipements'!C107,'12_Equipements'!$I$100:$J$115,2,0)*(1-VLOOKUP(C107,$L$100:$M$115,2,FALSE)),D107*VLOOKUP(C107,'BDD FE'!$B$172:$E$190,2,0)*10^-3/VLOOKUP('12_Equipements'!C107,'12_Equipements'!$I$100:$J$115,2,0)),0),0)</f>
        <v>0</v>
      </c>
      <c r="H107" s="130"/>
      <c r="I107" s="424" t="s">
        <v>3751</v>
      </c>
      <c r="J107" s="353">
        <v>5</v>
      </c>
      <c r="K107" s="130"/>
      <c r="L107" s="424" t="s">
        <v>3751</v>
      </c>
      <c r="M107" s="502">
        <v>0</v>
      </c>
      <c r="N107" s="148"/>
    </row>
    <row r="108" spans="2:17">
      <c r="B108" s="173"/>
      <c r="C108" s="288"/>
      <c r="D108" s="164"/>
      <c r="E108" s="165"/>
      <c r="F108" s="164"/>
      <c r="G108" s="132">
        <f>IFERROR(IF(('1_Votre Structure'!$E$6)-(F108)&lt;=VLOOKUP(C108,$I$100:$J$115,2,0),IF(E108="oui",D108*VLOOKUP(C108,'BDD FE'!$B$172:$E$190,2,0)*10^-3/VLOOKUP('12_Equipements'!C108,'12_Equipements'!$I$100:$J$115,2,0)*(1-VLOOKUP(C108,$L$100:$M$115,2,FALSE)),D108*VLOOKUP(C108,'BDD FE'!$B$172:$E$190,2,0)*10^-3/VLOOKUP('12_Equipements'!C108,'12_Equipements'!$I$100:$J$115,2,0)),0),0)</f>
        <v>0</v>
      </c>
      <c r="H108" s="130"/>
      <c r="I108" s="424" t="s">
        <v>105</v>
      </c>
      <c r="J108" s="353">
        <v>5</v>
      </c>
      <c r="K108" s="130"/>
      <c r="L108" s="424" t="s">
        <v>105</v>
      </c>
      <c r="M108" s="502">
        <v>0</v>
      </c>
      <c r="N108" s="148"/>
    </row>
    <row r="109" spans="2:17">
      <c r="B109" s="173"/>
      <c r="C109" s="288"/>
      <c r="D109" s="164"/>
      <c r="E109" s="165"/>
      <c r="F109" s="164"/>
      <c r="G109" s="132">
        <f>IFERROR(IF(('1_Votre Structure'!$E$6)-(F109)&lt;=VLOOKUP(C109,$I$100:$J$115,2,0),IF(E109="oui",D109*VLOOKUP(C109,'BDD FE'!$B$172:$E$190,2,0)*10^-3/VLOOKUP('12_Equipements'!C109,'12_Equipements'!$I$100:$J$115,2,0)*(1-VLOOKUP(C109,$L$100:$M$115,2,FALSE)),D109*VLOOKUP(C109,'BDD FE'!$B$172:$E$190,2,0)*10^-3/VLOOKUP('12_Equipements'!C109,'12_Equipements'!$I$100:$J$115,2,0)),0),0)</f>
        <v>0</v>
      </c>
      <c r="H109" s="130"/>
      <c r="I109" s="424" t="s">
        <v>3747</v>
      </c>
      <c r="J109" s="353">
        <v>3</v>
      </c>
      <c r="K109" s="130"/>
      <c r="L109" s="424" t="s">
        <v>3747</v>
      </c>
      <c r="M109" s="502">
        <v>0.84</v>
      </c>
      <c r="N109" s="148"/>
    </row>
    <row r="110" spans="2:17">
      <c r="B110" s="173"/>
      <c r="C110" s="288"/>
      <c r="D110" s="164"/>
      <c r="E110" s="165"/>
      <c r="F110" s="164"/>
      <c r="G110" s="132">
        <f>IFERROR(IF(('1_Votre Structure'!$E$6)-(F110)&lt;=VLOOKUP(C110,$I$100:$J$115,2,0),IF(E110="oui",D110*VLOOKUP(C110,'BDD FE'!$B$172:$E$190,2,0)*10^-3/VLOOKUP('12_Equipements'!C110,'12_Equipements'!$I$100:$J$115,2,0)*(1-VLOOKUP(C110,$L$100:$M$115,2,FALSE)),D110*VLOOKUP(C110,'BDD FE'!$B$172:$E$190,2,0)*10^-3/VLOOKUP('12_Equipements'!C110,'12_Equipements'!$I$100:$J$115,2,0)),0),0)</f>
        <v>0</v>
      </c>
      <c r="H110" s="130"/>
      <c r="I110" s="424" t="s">
        <v>102</v>
      </c>
      <c r="J110" s="353">
        <v>5</v>
      </c>
      <c r="K110" s="130"/>
      <c r="L110" s="424" t="s">
        <v>102</v>
      </c>
      <c r="M110" s="502">
        <v>0.63</v>
      </c>
      <c r="N110" s="148"/>
    </row>
    <row r="111" spans="2:17">
      <c r="B111" s="173"/>
      <c r="C111" s="288"/>
      <c r="D111" s="164"/>
      <c r="E111" s="165"/>
      <c r="F111" s="164"/>
      <c r="G111" s="132">
        <f>IFERROR(IF(('1_Votre Structure'!$E$6)-(F111)&lt;=VLOOKUP(C111,$I$100:$J$115,2,0),IF(E111="oui",D111*VLOOKUP(C111,'BDD FE'!$B$172:$E$190,2,0)*10^-3/VLOOKUP('12_Equipements'!C111,'12_Equipements'!$I$100:$J$115,2,0)*(1-VLOOKUP(C111,$L$100:$M$115,2,FALSE)),D111*VLOOKUP(C111,'BDD FE'!$B$172:$E$190,2,0)*10^-3/VLOOKUP('12_Equipements'!C111,'12_Equipements'!$I$100:$J$115,2,0)),0),0)</f>
        <v>0</v>
      </c>
      <c r="H111" s="130"/>
      <c r="I111" s="424" t="s">
        <v>104</v>
      </c>
      <c r="J111" s="429">
        <v>5</v>
      </c>
      <c r="K111" s="130"/>
      <c r="L111" s="424" t="s">
        <v>104</v>
      </c>
      <c r="M111" s="502">
        <v>0</v>
      </c>
      <c r="N111" s="148"/>
    </row>
    <row r="112" spans="2:17">
      <c r="B112" s="173"/>
      <c r="C112" s="288"/>
      <c r="D112" s="164"/>
      <c r="E112" s="165"/>
      <c r="F112" s="164"/>
      <c r="G112" s="132">
        <f>IFERROR(IF(('1_Votre Structure'!$E$6)-(F112)&lt;=VLOOKUP(C112,$I$100:$J$115,2,0),IF(E112="oui",D112*VLOOKUP(C112,'BDD FE'!$B$172:$E$190,2,0)*10^-3/VLOOKUP('12_Equipements'!C112,'12_Equipements'!$I$100:$J$115,2,0)*(1-VLOOKUP(C112,$L$100:$M$115,2,FALSE)),D112*VLOOKUP(C112,'BDD FE'!$B$172:$E$190,2,0)*10^-3/VLOOKUP('12_Equipements'!C112,'12_Equipements'!$I$100:$J$115,2,0)),0),0)</f>
        <v>0</v>
      </c>
      <c r="H112" s="130"/>
      <c r="I112" s="424" t="s">
        <v>103</v>
      </c>
      <c r="J112" s="429">
        <v>3</v>
      </c>
      <c r="K112" s="130"/>
      <c r="L112" s="424" t="s">
        <v>103</v>
      </c>
      <c r="M112" s="502">
        <v>0.76</v>
      </c>
      <c r="N112" s="148"/>
    </row>
    <row r="113" spans="2:14">
      <c r="B113" s="173"/>
      <c r="C113" s="288"/>
      <c r="D113" s="164"/>
      <c r="E113" s="165"/>
      <c r="F113" s="164"/>
      <c r="G113" s="132">
        <f>IFERROR(IF(('1_Votre Structure'!$E$6)-(F113)&lt;=VLOOKUP(C113,$I$100:$J$115,2,0),IF(E113="oui",D113*VLOOKUP(C113,'BDD FE'!$B$172:$E$190,2,0)*10^-3/VLOOKUP('12_Equipements'!C113,'12_Equipements'!$I$100:$J$115,2,0)*(1-VLOOKUP(C113,$L$100:$M$115,2,FALSE)),D113*VLOOKUP(C113,'BDD FE'!$B$172:$E$190,2,0)*10^-3/VLOOKUP('12_Equipements'!C113,'12_Equipements'!$I$100:$J$115,2,0)),0),0)</f>
        <v>0</v>
      </c>
      <c r="H113" s="130"/>
      <c r="I113" s="424" t="s">
        <v>3755</v>
      </c>
      <c r="J113" s="353">
        <v>5</v>
      </c>
      <c r="K113" s="130"/>
      <c r="L113" s="424" t="s">
        <v>3755</v>
      </c>
      <c r="M113" s="502">
        <v>0</v>
      </c>
      <c r="N113" s="148"/>
    </row>
    <row r="114" spans="2:14">
      <c r="B114" s="173"/>
      <c r="C114" s="130"/>
      <c r="D114" s="130"/>
      <c r="E114" s="130"/>
      <c r="F114" s="130"/>
      <c r="H114" s="130"/>
      <c r="I114" s="424" t="s">
        <v>3746</v>
      </c>
      <c r="J114" s="353">
        <v>5</v>
      </c>
      <c r="K114" s="130"/>
      <c r="L114" s="424" t="s">
        <v>3746</v>
      </c>
      <c r="M114" s="502">
        <v>0.68</v>
      </c>
      <c r="N114" s="148"/>
    </row>
    <row r="115" spans="2:14">
      <c r="B115" s="173"/>
      <c r="C115" s="130"/>
      <c r="D115" s="130"/>
      <c r="E115" s="130"/>
      <c r="F115" s="130"/>
      <c r="G115" s="130"/>
      <c r="H115" s="130"/>
      <c r="I115" s="424" t="s">
        <v>106</v>
      </c>
      <c r="J115" s="353">
        <v>5</v>
      </c>
      <c r="K115" s="130"/>
      <c r="L115" s="424" t="s">
        <v>106</v>
      </c>
      <c r="M115" s="502">
        <v>0</v>
      </c>
      <c r="N115" s="148"/>
    </row>
    <row r="116" spans="2:14" ht="14.4" customHeight="1">
      <c r="B116" s="173"/>
      <c r="E116" s="130"/>
      <c r="F116" s="130"/>
      <c r="G116" s="130"/>
      <c r="H116" s="130"/>
      <c r="K116" s="130"/>
      <c r="L116" s="696" t="s">
        <v>4074</v>
      </c>
      <c r="M116" s="696"/>
      <c r="N116" s="148"/>
    </row>
    <row r="117" spans="2:14" ht="20.399999999999999" customHeight="1">
      <c r="B117" s="173"/>
      <c r="E117" s="130"/>
      <c r="F117" s="130"/>
      <c r="G117" s="130"/>
      <c r="H117" s="130"/>
      <c r="I117" s="418"/>
      <c r="J117" s="396"/>
      <c r="K117" s="130"/>
      <c r="L117" s="697"/>
      <c r="M117" s="697"/>
      <c r="N117" s="148"/>
    </row>
    <row r="118" spans="2:14" ht="20.399999999999999" customHeight="1">
      <c r="B118" s="173"/>
      <c r="E118" s="130"/>
      <c r="F118" s="130"/>
      <c r="G118" s="130"/>
      <c r="H118" s="130"/>
      <c r="I118" s="418"/>
      <c r="J118" s="396"/>
      <c r="K118" s="130"/>
      <c r="L118" s="697"/>
      <c r="M118" s="697"/>
      <c r="N118" s="148"/>
    </row>
    <row r="119" spans="2:14" ht="14.4" customHeight="1">
      <c r="B119" s="173"/>
      <c r="E119" s="130"/>
      <c r="F119" s="130"/>
      <c r="G119" s="130"/>
      <c r="H119" s="130"/>
      <c r="I119" s="418"/>
      <c r="J119" s="396"/>
      <c r="K119" s="130"/>
      <c r="L119" s="697"/>
      <c r="M119" s="697"/>
      <c r="N119" s="148"/>
    </row>
    <row r="120" spans="2:14" ht="27.65" customHeight="1">
      <c r="B120" s="173"/>
      <c r="C120" s="692" t="s">
        <v>3758</v>
      </c>
      <c r="D120" s="692"/>
      <c r="E120" s="692"/>
      <c r="F120" s="289" t="s">
        <v>3423</v>
      </c>
      <c r="G120" s="117" t="s">
        <v>83</v>
      </c>
      <c r="H120" s="130"/>
      <c r="I120" s="130"/>
      <c r="J120" s="394"/>
      <c r="K120" s="130"/>
      <c r="L120" s="697"/>
      <c r="M120" s="697"/>
      <c r="N120" s="148"/>
    </row>
    <row r="121" spans="2:14" ht="17.399999999999999" customHeight="1">
      <c r="B121" s="173"/>
      <c r="C121" s="693"/>
      <c r="D121" s="693"/>
      <c r="E121" s="693"/>
      <c r="F121" s="164"/>
      <c r="G121" s="132">
        <f>IFERROR(F121*10^-3*'BDD FE'!$C$189*10^-3/'BDD FE'!$G$189,0)</f>
        <v>0</v>
      </c>
      <c r="H121" s="130"/>
      <c r="I121" s="130"/>
      <c r="J121" s="394"/>
      <c r="K121" s="130"/>
      <c r="L121" s="697"/>
      <c r="M121" s="697"/>
      <c r="N121" s="148"/>
    </row>
    <row r="122" spans="2:14" ht="27.65" customHeight="1">
      <c r="B122" s="173"/>
      <c r="C122" s="693"/>
      <c r="D122" s="693"/>
      <c r="E122" s="693"/>
      <c r="F122" s="164"/>
      <c r="G122" s="132">
        <f>IFERROR(F122*10^-3*'BDD FE'!$C$189*10^-3/'BDD FE'!$G$189,0)</f>
        <v>0</v>
      </c>
      <c r="H122" s="130"/>
      <c r="I122" s="396"/>
      <c r="J122" s="396"/>
      <c r="K122" s="130"/>
      <c r="L122" s="697"/>
      <c r="M122" s="697"/>
      <c r="N122" s="148"/>
    </row>
    <row r="123" spans="2:14" ht="27.65" customHeight="1">
      <c r="B123" s="173"/>
      <c r="C123" s="693"/>
      <c r="D123" s="693"/>
      <c r="E123" s="693"/>
      <c r="F123" s="164"/>
      <c r="G123" s="132">
        <f>IFERROR(F123*10^-3*'BDD FE'!$C$189*10^-3/'BDD FE'!$G$189,0)</f>
        <v>0</v>
      </c>
      <c r="H123" s="130"/>
      <c r="I123" s="396"/>
      <c r="J123" s="396"/>
      <c r="K123" s="130"/>
      <c r="L123" s="697"/>
      <c r="M123" s="697"/>
      <c r="N123" s="148"/>
    </row>
    <row r="124" spans="2:14">
      <c r="B124" s="173"/>
      <c r="C124" s="693"/>
      <c r="D124" s="693"/>
      <c r="E124" s="693"/>
      <c r="F124" s="164"/>
      <c r="G124" s="132">
        <f>IFERROR(F124*10^-3*'BDD FE'!$C$189*10^-3/'BDD FE'!$G$189,0)</f>
        <v>0</v>
      </c>
      <c r="H124" s="130"/>
      <c r="I124" s="396"/>
      <c r="J124" s="396"/>
      <c r="K124" s="130"/>
      <c r="L124" s="697"/>
      <c r="M124" s="697"/>
      <c r="N124" s="148"/>
    </row>
    <row r="125" spans="2:14">
      <c r="B125" s="173"/>
      <c r="C125" s="693"/>
      <c r="D125" s="693"/>
      <c r="E125" s="693"/>
      <c r="F125" s="164"/>
      <c r="G125" s="132">
        <f>IFERROR(F125*10^-3*'BDD FE'!$C$189*10^-3/'BDD FE'!$G$189,0)</f>
        <v>0</v>
      </c>
      <c r="H125" s="130"/>
      <c r="I125" s="396"/>
      <c r="J125" s="396"/>
      <c r="K125" s="130"/>
      <c r="L125" s="697"/>
      <c r="M125" s="697"/>
      <c r="N125" s="148"/>
    </row>
    <row r="126" spans="2:14">
      <c r="B126" s="173"/>
      <c r="C126" s="693"/>
      <c r="D126" s="693"/>
      <c r="E126" s="693"/>
      <c r="F126" s="164"/>
      <c r="G126" s="132">
        <f>IFERROR(F126*10^-3*'BDD FE'!$C$189*10^-3/'BDD FE'!$G$189,0)</f>
        <v>0</v>
      </c>
      <c r="H126" s="130"/>
      <c r="I126" s="396"/>
      <c r="J126" s="396"/>
      <c r="K126" s="130"/>
      <c r="L126" s="697"/>
      <c r="M126" s="697"/>
      <c r="N126" s="148"/>
    </row>
    <row r="127" spans="2:14">
      <c r="B127" s="173"/>
      <c r="C127" s="693"/>
      <c r="D127" s="693"/>
      <c r="E127" s="693"/>
      <c r="F127" s="164"/>
      <c r="G127" s="132">
        <f>IFERROR(F127*10^-3*'BDD FE'!$C$189*10^-3/'BDD FE'!$G$189,0)</f>
        <v>0</v>
      </c>
      <c r="H127" s="130"/>
      <c r="I127" s="130"/>
      <c r="J127" s="130"/>
      <c r="K127" s="130"/>
      <c r="L127" s="187"/>
      <c r="M127" s="187"/>
      <c r="N127" s="148"/>
    </row>
    <row r="128" spans="2:14">
      <c r="B128" s="173"/>
      <c r="C128" s="130"/>
      <c r="D128" s="130"/>
      <c r="E128" s="130"/>
      <c r="F128" s="130"/>
      <c r="G128" s="130"/>
      <c r="H128" s="130"/>
      <c r="I128" s="130"/>
      <c r="J128" s="130"/>
      <c r="K128" s="130"/>
      <c r="L128" s="187"/>
      <c r="M128" s="187"/>
      <c r="N128" s="148"/>
    </row>
    <row r="129" spans="2:14" ht="38.4" customHeight="1">
      <c r="B129" s="173"/>
      <c r="C129" s="130"/>
      <c r="D129" s="130"/>
      <c r="E129" s="130"/>
      <c r="F129" s="110" t="s">
        <v>3360</v>
      </c>
      <c r="G129" s="132">
        <f>SUM(G92:G113,G127)</f>
        <v>0</v>
      </c>
      <c r="H129" s="130"/>
      <c r="I129" s="130"/>
      <c r="J129" s="130"/>
      <c r="K129" s="130"/>
      <c r="L129" s="187"/>
      <c r="M129" s="187"/>
      <c r="N129" s="148"/>
    </row>
    <row r="130" spans="2:14" ht="38.4" customHeight="1">
      <c r="B130" s="173"/>
      <c r="C130" s="130"/>
      <c r="D130" s="130"/>
      <c r="E130" s="130"/>
      <c r="F130" s="130"/>
      <c r="G130" s="130"/>
      <c r="H130" s="130"/>
      <c r="I130" s="130"/>
      <c r="J130" s="130"/>
      <c r="K130" s="130"/>
      <c r="L130" s="187"/>
      <c r="M130" s="187"/>
      <c r="N130" s="148"/>
    </row>
    <row r="131" spans="2:14" ht="38.4" customHeight="1">
      <c r="B131" s="173"/>
      <c r="C131" s="130"/>
      <c r="D131" s="130"/>
      <c r="E131" s="130"/>
      <c r="F131" s="130"/>
      <c r="G131" s="130"/>
      <c r="H131" s="130"/>
      <c r="I131" s="304"/>
      <c r="J131" s="304"/>
      <c r="K131" s="130"/>
      <c r="L131" s="187"/>
      <c r="M131" s="187"/>
      <c r="N131" s="148"/>
    </row>
    <row r="132" spans="2:14" ht="38.4" customHeight="1">
      <c r="B132" s="173"/>
      <c r="C132" s="130"/>
      <c r="D132" s="130"/>
      <c r="E132" s="130"/>
      <c r="F132" s="130"/>
      <c r="G132" s="130"/>
      <c r="H132" s="130"/>
      <c r="I132" s="304"/>
      <c r="J132" s="304"/>
      <c r="K132" s="130"/>
      <c r="L132" s="187"/>
      <c r="M132" s="187"/>
      <c r="N132" s="148"/>
    </row>
    <row r="133" spans="2:14">
      <c r="B133" s="173"/>
      <c r="C133" s="642" t="s">
        <v>3674</v>
      </c>
      <c r="D133" s="643"/>
      <c r="E133" s="643"/>
      <c r="F133" s="643"/>
      <c r="G133" s="643"/>
      <c r="H133" s="643"/>
      <c r="I133" s="643"/>
      <c r="J133" s="643"/>
      <c r="K133" s="643"/>
      <c r="L133" s="643"/>
      <c r="M133" s="643"/>
      <c r="N133" s="148"/>
    </row>
    <row r="134" spans="2:14" ht="38.4" customHeight="1">
      <c r="B134" s="173"/>
      <c r="C134" s="644" t="s">
        <v>4005</v>
      </c>
      <c r="D134" s="629"/>
      <c r="E134" s="629"/>
      <c r="F134" s="629"/>
      <c r="G134" s="629"/>
      <c r="H134" s="629"/>
      <c r="I134" s="629"/>
      <c r="J134" s="629"/>
      <c r="K134" s="629"/>
      <c r="L134" s="629"/>
      <c r="M134" s="629"/>
      <c r="N134" s="148"/>
    </row>
    <row r="135" spans="2:14" ht="38.4" customHeight="1">
      <c r="B135" s="173"/>
      <c r="C135" s="629"/>
      <c r="D135" s="629"/>
      <c r="E135" s="629"/>
      <c r="F135" s="629"/>
      <c r="G135" s="629"/>
      <c r="H135" s="629"/>
      <c r="I135" s="629"/>
      <c r="J135" s="629"/>
      <c r="K135" s="629"/>
      <c r="L135" s="629"/>
      <c r="M135" s="629"/>
      <c r="N135" s="148"/>
    </row>
    <row r="136" spans="2:14" ht="38.4" customHeight="1">
      <c r="B136" s="173"/>
      <c r="C136" s="629"/>
      <c r="D136" s="629"/>
      <c r="E136" s="629"/>
      <c r="F136" s="629"/>
      <c r="G136" s="629"/>
      <c r="H136" s="629"/>
      <c r="I136" s="629"/>
      <c r="J136" s="629"/>
      <c r="K136" s="629"/>
      <c r="L136" s="629"/>
      <c r="M136" s="629"/>
      <c r="N136" s="148"/>
    </row>
    <row r="137" spans="2:14" ht="38.4" customHeight="1">
      <c r="B137" s="173"/>
      <c r="C137" s="629"/>
      <c r="D137" s="629"/>
      <c r="E137" s="629"/>
      <c r="F137" s="629"/>
      <c r="G137" s="629"/>
      <c r="H137" s="629"/>
      <c r="I137" s="629"/>
      <c r="J137" s="629"/>
      <c r="K137" s="629"/>
      <c r="L137" s="629"/>
      <c r="M137" s="629"/>
      <c r="N137" s="148"/>
    </row>
    <row r="138" spans="2:14">
      <c r="B138" s="173"/>
      <c r="C138" s="158"/>
      <c r="D138" s="158"/>
      <c r="E138" s="158"/>
      <c r="F138" s="158"/>
      <c r="G138" s="158"/>
      <c r="H138" s="158"/>
      <c r="I138" s="158"/>
      <c r="J138" s="158"/>
      <c r="K138" s="158"/>
      <c r="L138" s="158"/>
      <c r="M138" s="158"/>
      <c r="N138" s="148"/>
    </row>
    <row r="139" spans="2:14">
      <c r="B139" s="173"/>
      <c r="C139" s="130"/>
      <c r="D139" s="650" t="s">
        <v>3420</v>
      </c>
      <c r="E139" s="650"/>
      <c r="F139" s="188" t="s">
        <v>3419</v>
      </c>
      <c r="G139" s="130"/>
      <c r="H139" s="130"/>
      <c r="K139" s="130"/>
      <c r="L139" s="130"/>
      <c r="M139" s="130"/>
      <c r="N139" s="148"/>
    </row>
    <row r="140" spans="2:14" ht="25">
      <c r="B140" s="173"/>
      <c r="C140" s="289" t="s">
        <v>3533</v>
      </c>
      <c r="D140" s="289" t="s">
        <v>3534</v>
      </c>
      <c r="E140" s="289" t="s">
        <v>3450</v>
      </c>
      <c r="F140" s="289" t="s">
        <v>3423</v>
      </c>
      <c r="G140" s="544" t="s">
        <v>4075</v>
      </c>
      <c r="H140" s="117" t="s">
        <v>83</v>
      </c>
      <c r="J140" s="130"/>
      <c r="K140" s="117" t="s">
        <v>99</v>
      </c>
      <c r="N140" s="148"/>
    </row>
    <row r="141" spans="2:14" ht="37.5">
      <c r="B141" s="173"/>
      <c r="C141" s="164"/>
      <c r="D141" s="165"/>
      <c r="E141" s="164"/>
      <c r="F141" s="164"/>
      <c r="G141" s="164"/>
      <c r="H141" s="132">
        <f>IFERROR(IF(ISBLANK(E141),IF(('1_Votre Structure'!$E$6)-(G141)&lt;=$K$141,(F141*10^-3)*'BDD FE'!$C$474*10^-3/$K$141,0),IF(('1_Votre Structure'!$E$6)-(G141)&lt;=$K$141,E141*(VLOOKUP(D141,'BDD FE'!$B$530:$C$559,2,0)*10^-3)/$K$141,0)),0)</f>
        <v>0</v>
      </c>
      <c r="I141" s="351"/>
      <c r="J141" s="303" t="s">
        <v>97</v>
      </c>
      <c r="K141" s="153">
        <v>10</v>
      </c>
      <c r="L141" s="304"/>
      <c r="M141" s="304"/>
      <c r="N141" s="148"/>
    </row>
    <row r="142" spans="2:14">
      <c r="B142" s="173"/>
      <c r="C142" s="164"/>
      <c r="D142" s="165"/>
      <c r="E142" s="164"/>
      <c r="F142" s="164"/>
      <c r="G142" s="164"/>
      <c r="H142" s="132">
        <f>IFERROR(IF(ISBLANK(E142),IF(('1_Votre Structure'!$E$6)-(G142)&lt;=$K$141,(F142*10^-3)*'BDD FE'!$C$474*10^-3/$K$141,0),IF(('1_Votre Structure'!$E$6)-(G142)&lt;=$K$141,E142*(VLOOKUP(D142,'BDD FE'!$B$530:$C$559,2,0)*10^-3)/$K$141,0)),0)</f>
        <v>0</v>
      </c>
      <c r="K142" s="304"/>
      <c r="L142" s="304"/>
      <c r="M142" s="304"/>
      <c r="N142" s="148"/>
    </row>
    <row r="143" spans="2:14">
      <c r="B143" s="173"/>
      <c r="C143" s="164"/>
      <c r="D143" s="165"/>
      <c r="E143" s="164"/>
      <c r="F143" s="164"/>
      <c r="G143" s="164"/>
      <c r="H143" s="132">
        <f>IFERROR(IF(ISBLANK(E143),IF(('1_Votre Structure'!$E$6)-(G143)&lt;=$K$141,(F143*10^-3)*'BDD FE'!$C$474*10^-3/$K$141,0),IF(('1_Votre Structure'!$E$6)-(G143)&lt;=$K$141,E143*(VLOOKUP(D143,'BDD FE'!$B$530:$C$559,2,0)*10^-3)/$K$141,0)),0)</f>
        <v>0</v>
      </c>
      <c r="I143" s="304"/>
      <c r="J143" s="304"/>
      <c r="K143" s="304"/>
      <c r="L143" s="304"/>
      <c r="M143" s="304"/>
      <c r="N143" s="148"/>
    </row>
    <row r="144" spans="2:14">
      <c r="B144" s="173"/>
      <c r="C144" s="164"/>
      <c r="D144" s="165"/>
      <c r="E144" s="164"/>
      <c r="F144" s="164"/>
      <c r="G144" s="164"/>
      <c r="H144" s="132">
        <f>IFERROR(IF(ISBLANK(E144),IF(('1_Votre Structure'!$E$6)-(G144)&lt;=$K$141,(F144*10^-3)*'BDD FE'!$C$474*10^-3/$K$141,0),IF(('1_Votre Structure'!$E$6)-(G144)&lt;=$K$141,E144*(VLOOKUP(D144,'BDD FE'!$B$530:$C$559,2,0)*10^-3)/$K$141,0)),0)</f>
        <v>0</v>
      </c>
      <c r="I144" s="304"/>
      <c r="J144" s="304"/>
      <c r="K144" s="304"/>
      <c r="L144" s="304"/>
      <c r="M144" s="304"/>
      <c r="N144" s="148"/>
    </row>
    <row r="145" spans="2:14">
      <c r="B145" s="173"/>
      <c r="C145" s="164"/>
      <c r="D145" s="165"/>
      <c r="E145" s="164"/>
      <c r="F145" s="164"/>
      <c r="G145" s="164"/>
      <c r="H145" s="132">
        <f>IFERROR(IF(ISBLANK(E145),IF(('1_Votre Structure'!$E$6)-(G145)&lt;=$K$141,(F145*10^-3)*'BDD FE'!$C$474*10^-3/$K$141,0),IF(('1_Votre Structure'!$E$6)-(G145)&lt;=$K$141,E145*(VLOOKUP(D145,'BDD FE'!$B$530:$C$559,2,0)*10^-3)/$K$141,0)),0)</f>
        <v>0</v>
      </c>
      <c r="I145" s="304"/>
      <c r="J145" s="304"/>
      <c r="K145" s="304"/>
      <c r="L145" s="304"/>
      <c r="M145" s="304"/>
      <c r="N145" s="148"/>
    </row>
    <row r="146" spans="2:14">
      <c r="B146" s="173"/>
      <c r="C146" s="164"/>
      <c r="D146" s="165"/>
      <c r="E146" s="164"/>
      <c r="F146" s="164"/>
      <c r="G146" s="164"/>
      <c r="H146" s="132">
        <f>IFERROR(IF(ISBLANK(E146),IF(('1_Votre Structure'!$E$6)-(G146)&lt;=$K$141,(F146*10^-3)*'BDD FE'!$C$474*10^-3/$K$141,0),IF(('1_Votre Structure'!$E$6)-(G146)&lt;=$K$141,E146*(VLOOKUP(D146,'BDD FE'!$B$530:$C$559,2,0)*10^-3)/$K$141,0)),0)</f>
        <v>0</v>
      </c>
      <c r="I146" s="304"/>
      <c r="J146" s="304"/>
      <c r="N146" s="148"/>
    </row>
    <row r="147" spans="2:14">
      <c r="B147" s="173"/>
      <c r="C147" s="164"/>
      <c r="D147" s="165"/>
      <c r="E147" s="164"/>
      <c r="F147" s="164"/>
      <c r="G147" s="164"/>
      <c r="H147" s="132">
        <f>IFERROR(IF(ISBLANK(E147),IF(('1_Votre Structure'!$E$6)-(G147)&lt;=$K$141,(F147*10^-3)*'BDD FE'!$C$474*10^-3/$K$141,0),IF(('1_Votre Structure'!$E$6)-(G147)&lt;=$K$141,E147*(VLOOKUP(D147,'BDD FE'!$B$530:$C$559,2,0)*10^-3)/$K$141,0)),0)</f>
        <v>0</v>
      </c>
      <c r="I147" s="304"/>
      <c r="J147" s="304"/>
      <c r="K147" s="130"/>
      <c r="L147" s="187"/>
      <c r="M147" s="187"/>
      <c r="N147" s="148"/>
    </row>
    <row r="148" spans="2:14">
      <c r="B148" s="173"/>
      <c r="C148" s="164"/>
      <c r="D148" s="165"/>
      <c r="E148" s="164"/>
      <c r="F148" s="164"/>
      <c r="G148" s="164"/>
      <c r="H148" s="132">
        <f>IFERROR(IF(ISBLANK(E148),IF(('1_Votre Structure'!$E$6)-(G148)&lt;=$K$141,(F148*10^-3)*'BDD FE'!$C$474*10^-3/$K$141,0),IF(('1_Votre Structure'!$E$6)-(G148)&lt;=$K$141,E148*(VLOOKUP(D148,'BDD FE'!$B$530:$C$559,2,0)*10^-3)/$K$141,0)),0)</f>
        <v>0</v>
      </c>
      <c r="I148" s="304"/>
      <c r="J148" s="304"/>
      <c r="K148" s="130"/>
      <c r="L148" s="187"/>
      <c r="M148" s="187"/>
      <c r="N148" s="148"/>
    </row>
    <row r="149" spans="2:14">
      <c r="B149" s="173"/>
      <c r="C149" s="164"/>
      <c r="D149" s="165"/>
      <c r="E149" s="164"/>
      <c r="F149" s="164"/>
      <c r="G149" s="164"/>
      <c r="H149" s="132">
        <f>IFERROR(IF(ISBLANK(E149),IF(('1_Votre Structure'!$E$6)-(G149)&lt;=$K$141,(F149*10^-3)*'BDD FE'!$C$474*10^-3/$K$141,0),IF(('1_Votre Structure'!$E$6)-(G149)&lt;=$K$141,E149*(VLOOKUP(D149,'BDD FE'!$B$530:$C$559,2,0)*10^-3)/$K$141,0)),0)</f>
        <v>0</v>
      </c>
      <c r="I149" s="304"/>
      <c r="J149" s="304"/>
      <c r="K149" s="130"/>
      <c r="L149" s="187"/>
      <c r="M149" s="187"/>
      <c r="N149" s="148"/>
    </row>
    <row r="150" spans="2:14">
      <c r="B150" s="173"/>
      <c r="C150" s="164"/>
      <c r="D150" s="165"/>
      <c r="E150" s="164"/>
      <c r="F150" s="164"/>
      <c r="G150" s="164"/>
      <c r="H150" s="132">
        <f>IFERROR(IF(ISBLANK(E150),IF(('1_Votre Structure'!$E$6)-(G150)&lt;=$K$141,(F150*10^-3)*'BDD FE'!$C$474*10^-3/$K$141,0),IF(('1_Votre Structure'!$E$6)-(G150)&lt;=$K$141,E150*(VLOOKUP(D150,'BDD FE'!$B$530:$C$559,2,0)*10^-3)/$K$141,0)),0)</f>
        <v>0</v>
      </c>
      <c r="I150" s="304"/>
      <c r="J150" s="304"/>
      <c r="K150" s="130"/>
      <c r="L150" s="187"/>
      <c r="M150" s="187"/>
      <c r="N150" s="148"/>
    </row>
    <row r="151" spans="2:14">
      <c r="B151" s="173"/>
      <c r="C151" s="164"/>
      <c r="D151" s="165"/>
      <c r="E151" s="164"/>
      <c r="F151" s="164"/>
      <c r="G151" s="164"/>
      <c r="H151" s="132">
        <f>IFERROR(IF(ISBLANK(E151),IF(('1_Votre Structure'!$E$6)-(G151)&lt;=$K$141,(F151*10^-3)*'BDD FE'!$C$474*10^-3/$K$141,0),IF(('1_Votre Structure'!$E$6)-(G151)&lt;=$K$141,E151*(VLOOKUP(D151,'BDD FE'!$B$530:$C$559,2,0)*10^-3)/$K$141,0)),0)</f>
        <v>0</v>
      </c>
      <c r="I151" s="304"/>
      <c r="J151" s="304"/>
      <c r="K151" s="130"/>
      <c r="L151" s="187"/>
      <c r="M151" s="187"/>
      <c r="N151" s="148"/>
    </row>
    <row r="152" spans="2:14">
      <c r="B152" s="173"/>
      <c r="C152" s="164"/>
      <c r="D152" s="165"/>
      <c r="E152" s="164"/>
      <c r="F152" s="164"/>
      <c r="G152" s="164"/>
      <c r="H152" s="132">
        <f>IFERROR(IF(ISBLANK(E152),IF(('1_Votre Structure'!$E$6)-(G152)&lt;=$K$141,(F152*10^-3)*'BDD FE'!$C$474*10^-3/$K$141,0),IF(('1_Votre Structure'!$E$6)-(G152)&lt;=$K$141,E152*(VLOOKUP(D152,'BDD FE'!$B$530:$C$559,2,0)*10^-3)/$K$141,0)),0)</f>
        <v>0</v>
      </c>
      <c r="I152" s="304"/>
      <c r="J152" s="304"/>
      <c r="K152" s="130"/>
      <c r="L152" s="187"/>
      <c r="M152" s="187"/>
      <c r="N152" s="148"/>
    </row>
    <row r="153" spans="2:14">
      <c r="B153" s="173"/>
      <c r="C153" s="130"/>
      <c r="D153" s="130"/>
      <c r="E153" s="130"/>
      <c r="F153" s="130"/>
      <c r="G153" s="130"/>
      <c r="H153" s="132">
        <f>SUM(H141:H152)</f>
        <v>0</v>
      </c>
      <c r="I153" s="304"/>
      <c r="J153" s="304"/>
      <c r="K153" s="130"/>
      <c r="L153" s="187"/>
      <c r="M153" s="187"/>
      <c r="N153" s="148"/>
    </row>
    <row r="154" spans="2:14">
      <c r="B154" s="173"/>
      <c r="C154" s="130"/>
      <c r="D154" s="130"/>
      <c r="E154" s="130"/>
      <c r="F154" s="130"/>
      <c r="G154" s="130"/>
      <c r="H154" s="130"/>
      <c r="I154" s="304"/>
      <c r="J154" s="304"/>
      <c r="K154" s="130"/>
      <c r="L154" s="187"/>
      <c r="M154" s="187"/>
      <c r="N154" s="148"/>
    </row>
    <row r="155" spans="2:14">
      <c r="B155" s="173"/>
      <c r="C155" s="130"/>
      <c r="D155" s="130"/>
      <c r="E155" s="130"/>
      <c r="F155" s="130"/>
      <c r="G155" s="130"/>
      <c r="H155" s="130"/>
      <c r="I155" s="304"/>
      <c r="J155" s="304"/>
      <c r="K155" s="130"/>
      <c r="L155" s="187"/>
      <c r="M155" s="187"/>
      <c r="N155" s="148"/>
    </row>
    <row r="156" spans="2:14">
      <c r="B156" s="173"/>
      <c r="C156" s="130"/>
      <c r="D156" s="130"/>
      <c r="E156" s="130"/>
      <c r="F156" s="130"/>
      <c r="G156" s="130"/>
      <c r="H156" s="130"/>
      <c r="I156" s="130"/>
      <c r="J156" s="130"/>
      <c r="K156" s="130"/>
      <c r="L156" s="187"/>
      <c r="M156" s="187"/>
      <c r="N156" s="148"/>
    </row>
    <row r="157" spans="2:14">
      <c r="B157" s="173"/>
      <c r="C157" s="642" t="s">
        <v>3675</v>
      </c>
      <c r="D157" s="643"/>
      <c r="E157" s="643"/>
      <c r="F157" s="643"/>
      <c r="G157" s="643"/>
      <c r="H157" s="643"/>
      <c r="I157" s="643"/>
      <c r="J157" s="643"/>
      <c r="K157" s="643"/>
      <c r="L157" s="643"/>
      <c r="M157" s="643"/>
      <c r="N157" s="148"/>
    </row>
    <row r="158" spans="2:14" ht="14.4" customHeight="1">
      <c r="B158" s="173"/>
      <c r="C158" s="644" t="s">
        <v>4006</v>
      </c>
      <c r="D158" s="644"/>
      <c r="E158" s="644"/>
      <c r="F158" s="644"/>
      <c r="G158" s="644"/>
      <c r="H158" s="644"/>
      <c r="I158" s="644"/>
      <c r="J158" s="644"/>
      <c r="K158" s="644"/>
      <c r="L158" s="644"/>
      <c r="M158" s="644"/>
      <c r="N158" s="148"/>
    </row>
    <row r="159" spans="2:14">
      <c r="B159" s="173"/>
      <c r="C159" s="644"/>
      <c r="D159" s="644"/>
      <c r="E159" s="644"/>
      <c r="F159" s="644"/>
      <c r="G159" s="644"/>
      <c r="H159" s="644"/>
      <c r="I159" s="644"/>
      <c r="J159" s="644"/>
      <c r="K159" s="644"/>
      <c r="L159" s="644"/>
      <c r="M159" s="644"/>
      <c r="N159" s="148"/>
    </row>
    <row r="160" spans="2:14">
      <c r="B160" s="173"/>
      <c r="C160" s="644"/>
      <c r="D160" s="644"/>
      <c r="E160" s="644"/>
      <c r="F160" s="644"/>
      <c r="G160" s="644"/>
      <c r="H160" s="644"/>
      <c r="I160" s="644"/>
      <c r="J160" s="644"/>
      <c r="K160" s="644"/>
      <c r="L160" s="644"/>
      <c r="M160" s="644"/>
      <c r="N160" s="148"/>
    </row>
    <row r="161" spans="2:14">
      <c r="B161" s="173"/>
      <c r="C161" s="644"/>
      <c r="D161" s="644"/>
      <c r="E161" s="644"/>
      <c r="F161" s="644"/>
      <c r="G161" s="644"/>
      <c r="H161" s="644"/>
      <c r="I161" s="644"/>
      <c r="J161" s="644"/>
      <c r="K161" s="644"/>
      <c r="L161" s="644"/>
      <c r="M161" s="644"/>
      <c r="N161" s="148"/>
    </row>
    <row r="162" spans="2:14">
      <c r="B162" s="173"/>
      <c r="C162" s="644"/>
      <c r="D162" s="644"/>
      <c r="E162" s="644"/>
      <c r="F162" s="644"/>
      <c r="G162" s="644"/>
      <c r="H162" s="644"/>
      <c r="I162" s="644"/>
      <c r="J162" s="644"/>
      <c r="K162" s="644"/>
      <c r="L162" s="644"/>
      <c r="M162" s="644"/>
      <c r="N162" s="148"/>
    </row>
    <row r="163" spans="2:14">
      <c r="B163" s="173"/>
      <c r="C163" s="644"/>
      <c r="D163" s="644"/>
      <c r="E163" s="644"/>
      <c r="F163" s="644"/>
      <c r="G163" s="644"/>
      <c r="H163" s="644"/>
      <c r="I163" s="644"/>
      <c r="J163" s="644"/>
      <c r="K163" s="644"/>
      <c r="L163" s="644"/>
      <c r="M163" s="644"/>
      <c r="N163" s="148"/>
    </row>
    <row r="164" spans="2:14">
      <c r="B164" s="173"/>
      <c r="C164" s="644"/>
      <c r="D164" s="644"/>
      <c r="E164" s="644"/>
      <c r="F164" s="644"/>
      <c r="G164" s="644"/>
      <c r="H164" s="644"/>
      <c r="I164" s="644"/>
      <c r="J164" s="644"/>
      <c r="K164" s="644"/>
      <c r="L164" s="644"/>
      <c r="M164" s="644"/>
      <c r="N164" s="148"/>
    </row>
    <row r="165" spans="2:14">
      <c r="B165" s="173"/>
      <c r="C165" s="644"/>
      <c r="D165" s="644"/>
      <c r="E165" s="644"/>
      <c r="F165" s="644"/>
      <c r="G165" s="644"/>
      <c r="H165" s="644"/>
      <c r="I165" s="644"/>
      <c r="J165" s="644"/>
      <c r="K165" s="644"/>
      <c r="L165" s="644"/>
      <c r="M165" s="644"/>
      <c r="N165" s="148"/>
    </row>
    <row r="166" spans="2:14">
      <c r="B166" s="173"/>
      <c r="C166" s="644"/>
      <c r="D166" s="644"/>
      <c r="E166" s="644"/>
      <c r="F166" s="644"/>
      <c r="G166" s="644"/>
      <c r="H166" s="644"/>
      <c r="I166" s="644"/>
      <c r="J166" s="644"/>
      <c r="K166" s="644"/>
      <c r="L166" s="644"/>
      <c r="M166" s="644"/>
      <c r="N166" s="148"/>
    </row>
    <row r="167" spans="2:14">
      <c r="B167" s="173"/>
      <c r="C167" s="300"/>
      <c r="D167" s="300"/>
      <c r="E167" s="300"/>
      <c r="F167" s="300"/>
      <c r="G167" s="300"/>
      <c r="H167" s="300"/>
      <c r="I167" s="300"/>
      <c r="J167" s="300"/>
      <c r="K167" s="300"/>
      <c r="L167" s="300"/>
      <c r="M167" s="300"/>
      <c r="N167" s="148"/>
    </row>
    <row r="168" spans="2:14">
      <c r="B168" s="173"/>
      <c r="C168" s="158"/>
      <c r="D168" s="158"/>
      <c r="E168" s="158"/>
      <c r="F168" s="158"/>
      <c r="G168" s="158"/>
      <c r="H168" s="158"/>
      <c r="I168" s="158"/>
      <c r="J168" s="158"/>
      <c r="K168" s="158"/>
      <c r="L168" s="158"/>
      <c r="M168" s="158"/>
      <c r="N168" s="148"/>
    </row>
    <row r="169" spans="2:14">
      <c r="B169" s="173"/>
      <c r="C169" s="130"/>
      <c r="D169" s="699" t="s">
        <v>3420</v>
      </c>
      <c r="E169" s="699"/>
      <c r="F169" s="692" t="s">
        <v>3419</v>
      </c>
      <c r="G169" s="698"/>
      <c r="H169" s="397" t="s">
        <v>3460</v>
      </c>
      <c r="K169" s="130"/>
      <c r="L169" s="130"/>
      <c r="M169" s="130"/>
      <c r="N169" s="148"/>
    </row>
    <row r="170" spans="2:14" ht="25">
      <c r="B170" s="173"/>
      <c r="C170" s="289" t="s">
        <v>3532</v>
      </c>
      <c r="D170" s="289" t="s">
        <v>3534</v>
      </c>
      <c r="E170" s="289" t="s">
        <v>3450</v>
      </c>
      <c r="F170" s="397" t="s">
        <v>3977</v>
      </c>
      <c r="G170" s="397" t="s">
        <v>84</v>
      </c>
      <c r="H170" s="289" t="s">
        <v>3423</v>
      </c>
      <c r="I170" s="544" t="s">
        <v>4075</v>
      </c>
      <c r="J170" s="117" t="s">
        <v>83</v>
      </c>
      <c r="L170" s="130"/>
      <c r="M170" s="117" t="s">
        <v>99</v>
      </c>
      <c r="N170" s="148"/>
    </row>
    <row r="171" spans="2:14" ht="37.5">
      <c r="B171" s="173"/>
      <c r="C171" s="164"/>
      <c r="D171" s="165"/>
      <c r="E171" s="164"/>
      <c r="F171" s="506"/>
      <c r="G171" s="507"/>
      <c r="H171" s="164"/>
      <c r="I171" s="164"/>
      <c r="J171" s="132">
        <f>IFERROR(IF(ISBLANK(E171),IF(ISBLANK(G171),IF(('1_Votre Structure'!$E$6)-(I171)&lt;=$M$171,(H171*10^-3)*'BDD FE'!$C$471*10^-3/$M$171,0),IF(('1_Votre Structure'!$E$6)-(I171)&lt;=$M$171,G171*VLOOKUP(F171,'BDD FE'!$H$480:$I$498,2,FALSE)*10^-3/$M$171,0)),IF(('1_Votre Structure'!$E$6)-(I171)&lt;=$M$171,E171*(VLOOKUP(D171,'BDD FE'!$B$480:$C$498,2,0)*10^-3)/$M$171,0)),0)</f>
        <v>0</v>
      </c>
      <c r="L171" s="303" t="s">
        <v>97</v>
      </c>
      <c r="M171" s="153">
        <v>10</v>
      </c>
      <c r="N171" s="148"/>
    </row>
    <row r="172" spans="2:14">
      <c r="B172" s="173"/>
      <c r="C172" s="164"/>
      <c r="D172" s="165"/>
      <c r="E172" s="164"/>
      <c r="F172" s="506"/>
      <c r="G172" s="507"/>
      <c r="H172" s="164"/>
      <c r="I172" s="164"/>
      <c r="J172" s="132">
        <f>IFERROR(IF(ISBLANK(E172),IF(ISBLANK(G172),IF(('1_Votre Structure'!$E$6)-(I172)&lt;=$M$171,(H172*10^-3)*'BDD FE'!$C$471*10^-3/$M$171,0),IF(('1_Votre Structure'!$E$6)-(I172)&lt;=$M$171,G172*VLOOKUP(F172,'BDD FE'!$H$480:$I$498,2,FALSE)*10^-3/$M$171,0)),IF(('1_Votre Structure'!$E$6)-(I172)&lt;=$M$171,E172*(VLOOKUP(D172,'BDD FE'!$B$480:$C$498,2,0)*10^-3)/$M$171,0)),0)</f>
        <v>0</v>
      </c>
      <c r="K172" s="304"/>
      <c r="L172" s="304"/>
      <c r="M172" s="304"/>
      <c r="N172" s="148"/>
    </row>
    <row r="173" spans="2:14">
      <c r="B173" s="173"/>
      <c r="C173" s="164"/>
      <c r="D173" s="165"/>
      <c r="E173" s="164"/>
      <c r="F173" s="506"/>
      <c r="G173" s="507"/>
      <c r="H173" s="164"/>
      <c r="I173" s="164"/>
      <c r="J173" s="132">
        <f>IFERROR(IF(ISBLANK(E173),IF(ISBLANK(G173),IF(('1_Votre Structure'!$E$6)-(I173)&lt;=$M$171,(H173*10^-3)*'BDD FE'!$C$471*10^-3/$M$171,0),IF(('1_Votre Structure'!$E$6)-(I173)&lt;=$M$171,G173*VLOOKUP(F173,'BDD FE'!$H$480:$I$498,2,FALSE)*10^-3/$M$171,0)),IF(('1_Votre Structure'!$E$6)-(I173)&lt;=$M$171,E173*(VLOOKUP(D173,'BDD FE'!$B$480:$C$498,2,0)*10^-3)/$M$171,0)),0)</f>
        <v>0</v>
      </c>
      <c r="K173" s="304"/>
      <c r="L173" s="304"/>
      <c r="M173" s="304"/>
      <c r="N173" s="148"/>
    </row>
    <row r="174" spans="2:14">
      <c r="B174" s="173"/>
      <c r="C174" s="164"/>
      <c r="D174" s="165"/>
      <c r="E174" s="164"/>
      <c r="F174" s="506"/>
      <c r="G174" s="507"/>
      <c r="H174" s="164"/>
      <c r="I174" s="164"/>
      <c r="J174" s="132">
        <f>IFERROR(IF(ISBLANK(E174),IF(ISBLANK(G174),IF(('1_Votre Structure'!$E$6)-(I174)&lt;=$M$171,(H174*10^-3)*'BDD FE'!$C$471*10^-3/$M$171,0),IF(('1_Votre Structure'!$E$6)-(I174)&lt;=$M$171,G174*VLOOKUP(F174,'BDD FE'!$H$480:$I$498,2,FALSE)*10^-3/$M$171,0)),IF(('1_Votre Structure'!$E$6)-(I174)&lt;=$M$171,E174*(VLOOKUP(D174,'BDD FE'!$B$480:$C$498,2,0)*10^-3)/$M$171,0)),0)</f>
        <v>0</v>
      </c>
      <c r="K174" s="304"/>
      <c r="L174" s="304"/>
      <c r="M174" s="304"/>
      <c r="N174" s="148"/>
    </row>
    <row r="175" spans="2:14">
      <c r="B175" s="173"/>
      <c r="C175" s="164"/>
      <c r="D175" s="165"/>
      <c r="E175" s="164"/>
      <c r="F175" s="506"/>
      <c r="G175" s="507"/>
      <c r="H175" s="164"/>
      <c r="I175" s="164"/>
      <c r="J175" s="132">
        <f>IFERROR(IF(ISBLANK(E175),IF(ISBLANK(G175),IF(('1_Votre Structure'!$E$6)-(I175)&lt;=$M$171,(H175*10^-3)*'BDD FE'!$C$471*10^-3/$M$171,0),IF(('1_Votre Structure'!$E$6)-(I175)&lt;=$M$171,G175*VLOOKUP(F175,'BDD FE'!$H$480:$I$498,2,FALSE)*10^-3/$M$171,0)),IF(('1_Votre Structure'!$E$6)-(I175)&lt;=$M$171,E175*(VLOOKUP(D175,'BDD FE'!$B$480:$C$498,2,0)*10^-3)/$M$171,0)),0)</f>
        <v>0</v>
      </c>
      <c r="K175" s="304"/>
      <c r="L175" s="304"/>
      <c r="M175" s="304"/>
      <c r="N175" s="148"/>
    </row>
    <row r="176" spans="2:14">
      <c r="B176" s="173"/>
      <c r="C176" s="164"/>
      <c r="D176" s="165"/>
      <c r="E176" s="164"/>
      <c r="F176" s="506"/>
      <c r="G176" s="507"/>
      <c r="H176" s="164"/>
      <c r="I176" s="164"/>
      <c r="J176" s="132">
        <f>IFERROR(IF(ISBLANK(E176),IF(ISBLANK(G176),IF(('1_Votre Structure'!$E$6)-(I176)&lt;=$M$171,(H176*10^-3)*'BDD FE'!$C$471*10^-3/$M$171,0),IF(('1_Votre Structure'!$E$6)-(I176)&lt;=$M$171,G176*VLOOKUP(F176,'BDD FE'!$H$480:$I$498,2,FALSE)*10^-3/$M$171,0)),IF(('1_Votre Structure'!$E$6)-(I176)&lt;=$M$171,E176*(VLOOKUP(D176,'BDD FE'!$B$480:$C$498,2,0)*10^-3)/$M$171,0)),0)</f>
        <v>0</v>
      </c>
      <c r="N176" s="148"/>
    </row>
    <row r="177" spans="2:14">
      <c r="B177" s="173"/>
      <c r="C177" s="164"/>
      <c r="D177" s="165"/>
      <c r="E177" s="164"/>
      <c r="F177" s="506"/>
      <c r="G177" s="507"/>
      <c r="H177" s="164"/>
      <c r="I177" s="164"/>
      <c r="J177" s="132">
        <f>IFERROR(IF(ISBLANK(E177),IF(ISBLANK(G177),IF(('1_Votre Structure'!$E$6)-(I177)&lt;=$M$171,(H177*10^-3)*'BDD FE'!$C$471*10^-3/$M$171,0),IF(('1_Votre Structure'!$E$6)-(I177)&lt;=$M$171,G177*VLOOKUP(F177,'BDD FE'!$H$480:$I$498,2,FALSE)*10^-3/$M$171,0)),IF(('1_Votre Structure'!$E$6)-(I177)&lt;=$M$171,E177*(VLOOKUP(D177,'BDD FE'!$B$480:$C$498,2,0)*10^-3)/$M$171,0)),0)</f>
        <v>0</v>
      </c>
      <c r="K177" s="130"/>
      <c r="L177" s="187"/>
      <c r="M177" s="187"/>
      <c r="N177" s="148"/>
    </row>
    <row r="178" spans="2:14">
      <c r="B178" s="173"/>
      <c r="C178" s="164"/>
      <c r="D178" s="165"/>
      <c r="E178" s="164"/>
      <c r="F178" s="506"/>
      <c r="G178" s="507"/>
      <c r="H178" s="164"/>
      <c r="I178" s="164"/>
      <c r="J178" s="132">
        <f>IFERROR(IF(ISBLANK(E178),IF(ISBLANK(G178),IF(('1_Votre Structure'!$E$6)-(I178)&lt;=$M$171,(H178*10^-3)*'BDD FE'!$C$471*10^-3/$M$171,0),IF(('1_Votre Structure'!$E$6)-(I178)&lt;=$M$171,G178*VLOOKUP(F178,'BDD FE'!$H$480:$I$498,2,FALSE)*10^-3/$M$171,0)),IF(('1_Votre Structure'!$E$6)-(I178)&lt;=$M$171,E178*(VLOOKUP(D178,'BDD FE'!$B$480:$C$498,2,0)*10^-3)/$M$171,0)),0)</f>
        <v>0</v>
      </c>
      <c r="K178" s="130"/>
      <c r="L178" s="187"/>
      <c r="M178" s="187"/>
      <c r="N178" s="148"/>
    </row>
    <row r="179" spans="2:14">
      <c r="B179" s="173"/>
      <c r="C179" s="164"/>
      <c r="D179" s="165"/>
      <c r="E179" s="164"/>
      <c r="F179" s="506"/>
      <c r="G179" s="507"/>
      <c r="H179" s="164"/>
      <c r="I179" s="164"/>
      <c r="J179" s="132">
        <f>IFERROR(IF(ISBLANK(E179),IF(ISBLANK(G179),IF(('1_Votre Structure'!$E$6)-(I179)&lt;=$M$171,(H179*10^-3)*'BDD FE'!$C$471*10^-3/$M$171,0),IF(('1_Votre Structure'!$E$6)-(I179)&lt;=$M$171,G179*VLOOKUP(F179,'BDD FE'!$H$480:$I$498,2,FALSE)*10^-3/$M$171,0)),IF(('1_Votre Structure'!$E$6)-(I179)&lt;=$M$171,E179*(VLOOKUP(D179,'BDD FE'!$B$480:$C$498,2,0)*10^-3)/$M$171,0)),0)</f>
        <v>0</v>
      </c>
      <c r="K179" s="130"/>
      <c r="L179" s="187"/>
      <c r="M179" s="187"/>
      <c r="N179" s="148"/>
    </row>
    <row r="180" spans="2:14">
      <c r="B180" s="173"/>
      <c r="C180" s="164"/>
      <c r="D180" s="165"/>
      <c r="E180" s="164"/>
      <c r="F180" s="506"/>
      <c r="G180" s="507"/>
      <c r="H180" s="164"/>
      <c r="I180" s="164"/>
      <c r="J180" s="132">
        <f>IFERROR(IF(ISBLANK(E180),IF(ISBLANK(G180),IF(('1_Votre Structure'!$E$6)-(I180)&lt;=$M$171,(H180*10^-3)*'BDD FE'!$C$471*10^-3/$M$171,0),IF(('1_Votre Structure'!$E$6)-(I180)&lt;=$M$171,G180*VLOOKUP(F180,'BDD FE'!$H$480:$I$498,2,FALSE)*10^-3/$M$171,0)),IF(('1_Votre Structure'!$E$6)-(I180)&lt;=$M$171,E180*(VLOOKUP(D180,'BDD FE'!$B$480:$C$498,2,0)*10^-3)/$M$171,0)),0)</f>
        <v>0</v>
      </c>
      <c r="K180" s="130"/>
      <c r="L180" s="187"/>
      <c r="M180" s="187"/>
      <c r="N180" s="148"/>
    </row>
    <row r="181" spans="2:14">
      <c r="B181" s="173"/>
      <c r="C181" s="164"/>
      <c r="D181" s="165"/>
      <c r="E181" s="164"/>
      <c r="F181" s="506"/>
      <c r="G181" s="507"/>
      <c r="H181" s="164"/>
      <c r="I181" s="164"/>
      <c r="J181" s="132">
        <f>IFERROR(IF(ISBLANK(E181),IF(ISBLANK(G181),IF(('1_Votre Structure'!$E$6)-(I181)&lt;=$M$171,(H181*10^-3)*'BDD FE'!$C$471*10^-3/$M$171,0),IF(('1_Votre Structure'!$E$6)-(I181)&lt;=$M$171,G181*VLOOKUP(F181,'BDD FE'!$H$480:$I$498,2,FALSE)*10^-3/$M$171,0)),IF(('1_Votre Structure'!$E$6)-(I181)&lt;=$M$171,E181*(VLOOKUP(D181,'BDD FE'!$B$480:$C$498,2,0)*10^-3)/$M$171,0)),0)</f>
        <v>0</v>
      </c>
      <c r="K181" s="130"/>
      <c r="L181" s="187"/>
      <c r="M181" s="187"/>
      <c r="N181" s="148"/>
    </row>
    <row r="182" spans="2:14">
      <c r="B182" s="173"/>
      <c r="C182" s="164"/>
      <c r="D182" s="165"/>
      <c r="E182" s="164"/>
      <c r="F182" s="506"/>
      <c r="G182" s="507"/>
      <c r="H182" s="164"/>
      <c r="I182" s="164"/>
      <c r="J182" s="132">
        <f>IFERROR(IF(ISBLANK(E182),IF(ISBLANK(G182),IF(('1_Votre Structure'!$E$6)-(I182)&lt;=$M$171,(H182*10^-3)*'BDD FE'!$C$471*10^-3/$M$171,0),IF(('1_Votre Structure'!$E$6)-(I182)&lt;=$M$171,G182*VLOOKUP(F182,'BDD FE'!$H$480:$I$498,2,FALSE)*10^-3/$M$171,0)),IF(('1_Votre Structure'!$E$6)-(I182)&lt;=$M$171,E182*(VLOOKUP(D182,'BDD FE'!$B$480:$C$498,2,0)*10^-3)/$M$171,0)),0)</f>
        <v>0</v>
      </c>
      <c r="K182" s="130"/>
      <c r="L182" s="187"/>
      <c r="M182" s="187"/>
      <c r="N182" s="148"/>
    </row>
    <row r="183" spans="2:14">
      <c r="B183" s="181"/>
      <c r="C183" s="130"/>
      <c r="E183" s="130"/>
      <c r="F183" s="130"/>
      <c r="I183" s="130"/>
      <c r="J183" s="132">
        <f>SUM(J171:J182)</f>
        <v>0</v>
      </c>
      <c r="K183" s="130"/>
      <c r="L183" s="187"/>
      <c r="M183" s="187"/>
      <c r="N183" s="148"/>
    </row>
    <row r="184" spans="2:14">
      <c r="B184" s="181"/>
      <c r="C184" s="130"/>
      <c r="D184" s="130"/>
      <c r="E184" s="130"/>
      <c r="F184" s="130"/>
      <c r="G184" s="130"/>
      <c r="H184" s="130"/>
      <c r="I184" s="130"/>
      <c r="J184" s="130"/>
      <c r="K184" s="130"/>
      <c r="L184" s="187"/>
      <c r="M184" s="187"/>
      <c r="N184" s="148"/>
    </row>
    <row r="185" spans="2:14">
      <c r="B185" s="181"/>
      <c r="C185" s="130"/>
      <c r="D185" s="130"/>
      <c r="E185" s="130"/>
      <c r="F185" s="130"/>
      <c r="G185" s="130"/>
      <c r="H185" s="130"/>
      <c r="I185" s="130"/>
      <c r="J185" s="130"/>
      <c r="K185" s="130"/>
      <c r="L185" s="130"/>
      <c r="M185" s="130"/>
      <c r="N185" s="148"/>
    </row>
    <row r="186" spans="2:14" ht="15" thickBot="1">
      <c r="B186" s="181"/>
      <c r="C186" s="130"/>
      <c r="D186" s="130"/>
      <c r="E186" s="130"/>
      <c r="F186" s="130"/>
      <c r="G186" s="130"/>
      <c r="H186" s="130"/>
      <c r="I186" s="130"/>
      <c r="J186" s="130"/>
      <c r="K186" s="130"/>
      <c r="L186" s="130"/>
      <c r="M186" s="130"/>
      <c r="N186" s="148"/>
    </row>
    <row r="187" spans="2:14" ht="40">
      <c r="B187" s="284" t="s">
        <v>46</v>
      </c>
      <c r="C187" s="285"/>
      <c r="D187" s="285"/>
      <c r="E187" s="285"/>
      <c r="F187" s="285"/>
      <c r="G187" s="285"/>
      <c r="H187" s="285"/>
      <c r="I187" s="285"/>
      <c r="J187" s="285"/>
      <c r="K187" s="285"/>
      <c r="L187" s="285"/>
      <c r="M187" s="285"/>
      <c r="N187" s="286"/>
    </row>
    <row r="188" spans="2:14">
      <c r="B188" s="181"/>
      <c r="C188" s="130"/>
      <c r="D188" s="130"/>
      <c r="E188" s="130"/>
      <c r="F188" s="130"/>
      <c r="G188" s="130"/>
      <c r="H188" s="130"/>
      <c r="K188" s="130"/>
      <c r="L188" s="130"/>
      <c r="M188" s="130"/>
      <c r="N188" s="148"/>
    </row>
    <row r="189" spans="2:14">
      <c r="B189" s="181"/>
      <c r="C189" s="130"/>
      <c r="D189" s="130"/>
      <c r="E189" s="130"/>
      <c r="F189" s="130"/>
      <c r="G189" s="130"/>
      <c r="H189" s="130"/>
      <c r="I189" s="130"/>
      <c r="J189" s="130"/>
      <c r="K189" s="130"/>
      <c r="L189" s="130"/>
      <c r="M189" s="130"/>
      <c r="N189" s="148"/>
    </row>
    <row r="190" spans="2:14">
      <c r="B190" s="181"/>
      <c r="C190" s="130"/>
      <c r="D190" s="130"/>
      <c r="E190" s="130"/>
      <c r="F190" s="130"/>
      <c r="G190" s="130"/>
      <c r="H190" s="130"/>
      <c r="I190" s="130"/>
      <c r="J190" s="130"/>
      <c r="K190" s="130"/>
      <c r="L190" s="130"/>
      <c r="M190" s="130"/>
      <c r="N190" s="148"/>
    </row>
    <row r="191" spans="2:14" ht="25">
      <c r="B191" s="181"/>
      <c r="C191" s="481" t="s">
        <v>3915</v>
      </c>
      <c r="D191" s="397" t="s">
        <v>23</v>
      </c>
      <c r="F191" s="130"/>
      <c r="G191" s="130"/>
      <c r="H191" s="130"/>
      <c r="I191" s="130"/>
      <c r="J191" s="130"/>
      <c r="K191" s="130"/>
      <c r="L191" s="130"/>
      <c r="M191" s="130"/>
      <c r="N191" s="148"/>
    </row>
    <row r="192" spans="2:14">
      <c r="B192" s="181"/>
      <c r="C192" s="428" t="s">
        <v>3421</v>
      </c>
      <c r="D192" s="482">
        <f>J37</f>
        <v>0</v>
      </c>
      <c r="F192" s="130"/>
      <c r="G192" s="130"/>
      <c r="H192" s="130"/>
      <c r="I192" s="130"/>
      <c r="J192" s="130"/>
      <c r="K192" s="130"/>
      <c r="L192" s="130"/>
      <c r="M192" s="130"/>
      <c r="N192" s="148"/>
    </row>
    <row r="193" spans="2:14">
      <c r="B193" s="181"/>
      <c r="C193" s="428" t="s">
        <v>3370</v>
      </c>
      <c r="D193" s="482">
        <f>H61</f>
        <v>0</v>
      </c>
      <c r="F193" s="130"/>
      <c r="G193" s="130"/>
      <c r="H193" s="130"/>
      <c r="I193" s="130"/>
      <c r="J193" s="130"/>
      <c r="K193" s="130"/>
      <c r="L193" s="130"/>
      <c r="M193" s="130"/>
      <c r="N193" s="148"/>
    </row>
    <row r="194" spans="2:14">
      <c r="B194" s="181"/>
      <c r="C194" s="428" t="s">
        <v>3914</v>
      </c>
      <c r="D194" s="482">
        <f>H84</f>
        <v>0</v>
      </c>
      <c r="F194" s="160"/>
      <c r="G194" s="130"/>
      <c r="H194" s="130"/>
      <c r="I194" s="130"/>
      <c r="J194" s="130"/>
      <c r="K194" s="130"/>
      <c r="L194" s="130"/>
      <c r="M194" s="130"/>
      <c r="N194" s="148"/>
    </row>
    <row r="195" spans="2:14">
      <c r="B195" s="181"/>
      <c r="C195" s="428" t="s">
        <v>8</v>
      </c>
      <c r="D195" s="482">
        <f>(G129)</f>
        <v>0</v>
      </c>
      <c r="F195" s="130"/>
      <c r="G195" s="130"/>
      <c r="H195" s="130"/>
      <c r="I195" s="130"/>
      <c r="J195" s="130"/>
      <c r="K195" s="130"/>
      <c r="L195" s="130"/>
      <c r="M195" s="130"/>
      <c r="N195" s="148"/>
    </row>
    <row r="196" spans="2:14">
      <c r="B196" s="181"/>
      <c r="C196" s="428" t="s">
        <v>3422</v>
      </c>
      <c r="D196" s="483">
        <f>H153</f>
        <v>0</v>
      </c>
      <c r="E196" s="130"/>
      <c r="F196" s="130"/>
      <c r="I196" s="130"/>
      <c r="J196" s="130"/>
      <c r="N196" s="178"/>
    </row>
    <row r="197" spans="2:14">
      <c r="B197" s="186"/>
      <c r="C197" s="455" t="s">
        <v>3675</v>
      </c>
      <c r="D197" s="482">
        <f>J183</f>
        <v>0</v>
      </c>
      <c r="N197" s="178"/>
    </row>
    <row r="198" spans="2:14">
      <c r="B198" s="186"/>
      <c r="N198" s="178"/>
    </row>
    <row r="199" spans="2:14">
      <c r="B199" s="186"/>
      <c r="N199" s="178"/>
    </row>
    <row r="200" spans="2:14">
      <c r="B200" s="186"/>
      <c r="N200" s="178"/>
    </row>
    <row r="201" spans="2:14">
      <c r="B201" s="186"/>
      <c r="N201" s="178"/>
    </row>
    <row r="202" spans="2:14">
      <c r="B202" s="186"/>
      <c r="N202" s="178"/>
    </row>
    <row r="203" spans="2:14">
      <c r="B203" s="186"/>
      <c r="N203" s="178"/>
    </row>
    <row r="204" spans="2:14">
      <c r="B204" s="186"/>
      <c r="N204" s="178"/>
    </row>
    <row r="205" spans="2:14">
      <c r="B205" s="186"/>
      <c r="N205" s="178"/>
    </row>
    <row r="206" spans="2:14">
      <c r="B206" s="186"/>
      <c r="N206" s="178"/>
    </row>
    <row r="207" spans="2:14">
      <c r="B207" s="186"/>
      <c r="N207" s="178"/>
    </row>
    <row r="208" spans="2:14">
      <c r="B208" s="186"/>
      <c r="N208" s="178"/>
    </row>
    <row r="209" spans="2:14" ht="15" thickBot="1">
      <c r="B209" s="185"/>
      <c r="C209" s="161"/>
      <c r="D209" s="161"/>
      <c r="E209" s="161"/>
      <c r="F209" s="161"/>
      <c r="G209" s="161"/>
      <c r="H209" s="161"/>
      <c r="I209" s="161"/>
      <c r="J209" s="161"/>
      <c r="K209" s="161"/>
      <c r="L209" s="161"/>
      <c r="M209" s="161"/>
      <c r="N209" s="162"/>
    </row>
    <row r="210" spans="2:14"/>
    <row r="211" spans="2:14"/>
    <row r="212" spans="2:14"/>
    <row r="213" spans="2:14"/>
    <row r="214" spans="2:14"/>
    <row r="215" spans="2:14"/>
    <row r="216" spans="2:14"/>
    <row r="217" spans="2:14"/>
    <row r="218" spans="2:14"/>
    <row r="219" spans="2:14"/>
    <row r="220" spans="2:14"/>
    <row r="221" spans="2:14"/>
    <row r="222" spans="2:14"/>
    <row r="223" spans="2:14"/>
    <row r="224" spans="2:14"/>
    <row r="225"/>
    <row r="226"/>
    <row r="227"/>
    <row r="228"/>
    <row r="229"/>
    <row r="230"/>
    <row r="231"/>
    <row r="232"/>
    <row r="233"/>
    <row r="234"/>
    <row r="235"/>
  </sheetData>
  <protectedRanges>
    <protectedRange sqref="M25 M171 K141 J122:J126 E121:F127 J100:J110 K53:K54 K71 M100:M115 C171:E182 C25:I36 C54:G60 C73:G83 C141:G152 H171:I182 C92:F113" name="Plage1"/>
    <protectedRange sqref="O3 O8:O11 O57:O98" name="Plage1_1"/>
  </protectedRanges>
  <mergeCells count="38">
    <mergeCell ref="F169:G169"/>
    <mergeCell ref="D169:E169"/>
    <mergeCell ref="C133:M133"/>
    <mergeCell ref="C157:M157"/>
    <mergeCell ref="D139:E139"/>
    <mergeCell ref="C158:M166"/>
    <mergeCell ref="C134:M137"/>
    <mergeCell ref="D23:E23"/>
    <mergeCell ref="C120:E120"/>
    <mergeCell ref="C127:E127"/>
    <mergeCell ref="C121:E121"/>
    <mergeCell ref="C126:E126"/>
    <mergeCell ref="C63:M63"/>
    <mergeCell ref="D71:E71"/>
    <mergeCell ref="C65:M68"/>
    <mergeCell ref="C88:M89"/>
    <mergeCell ref="C87:M87"/>
    <mergeCell ref="C122:E122"/>
    <mergeCell ref="C123:E123"/>
    <mergeCell ref="C124:E124"/>
    <mergeCell ref="C125:E125"/>
    <mergeCell ref="L116:M126"/>
    <mergeCell ref="O27:Q101"/>
    <mergeCell ref="C42:M42"/>
    <mergeCell ref="D52:E52"/>
    <mergeCell ref="C44:M47"/>
    <mergeCell ref="B1:N1"/>
    <mergeCell ref="O1:Q1"/>
    <mergeCell ref="O2:Q2"/>
    <mergeCell ref="O3:Q6"/>
    <mergeCell ref="O8:Q26"/>
    <mergeCell ref="C17:M17"/>
    <mergeCell ref="C5:M13"/>
    <mergeCell ref="F23:G23"/>
    <mergeCell ref="C18:M21"/>
    <mergeCell ref="I92:M96"/>
    <mergeCell ref="L98:M98"/>
    <mergeCell ref="I98:J98"/>
  </mergeCells>
  <dataValidations count="3">
    <dataValidation allowBlank="1" showInputMessage="1" showErrorMessage="1" prompt="ATTENTION : Si un type d'équipement ne figure pas dans cette colonne, vous ne pouvez pas le renseigner comme acheté en reconditionné" sqref="L98:M98" xr:uid="{00000000-0002-0000-0800-000000000000}"/>
    <dataValidation allowBlank="1" showInputMessage="1" showErrorMessage="1" prompt="ATTENTION : Si vous n'avez pas précisé la date de référence de votre bilan dans l'onglet &quot;Votre structure&quot;, l'amortissement de votre matériel ne s'appliquera pas" sqref="I98:J98 L25 L171 J141 J53:J54 J71" xr:uid="{00000000-0002-0000-0800-000001000000}"/>
    <dataValidation type="whole" allowBlank="1" showInputMessage="1" showErrorMessage="1" sqref="I25:I36 G54:G60 G73:G83 I171:I182 G141:G152 F92:F113" xr:uid="{E700BFD3-2D72-411B-B43A-AA1A3DEB4AFE}">
      <formula1>1900</formula1>
      <formula2>YEAR(TODAY())</formula2>
    </dataValidation>
  </dataValidations>
  <hyperlinks>
    <hyperlink ref="A6" location="'1_Votre Structure'!A1" display="Votre structure" xr:uid="{BC4E0A0F-DC91-47F1-8FA6-3D2FF15A84D2}"/>
    <hyperlink ref="A7" location="'2_ConsoEnergieEau'!A1" display="Consommation d'énergie et d'eau" xr:uid="{543272EE-14FC-45DB-B29A-ABF84A713F33}"/>
    <hyperlink ref="A8" location="'3_Climatisation'!A1" display="Climatisation" xr:uid="{DD761481-1AAE-4777-A64C-A0291A260D91}"/>
    <hyperlink ref="A12" location="'7_DéplacementsProfessionnels'!A1" display="Déplacements professionnels" xr:uid="{EECD5D6C-61C3-4D7B-81DF-9F3D4EC29C5D}"/>
    <hyperlink ref="A13" location="'8_DéplacementsSalariés'!A1" display="Déplacements des salariés" xr:uid="{170B22EC-26B0-4A58-BD3C-080AE84DADEF}"/>
    <hyperlink ref="A17" location="'12_Equipements'!A1" display="Equipements" xr:uid="{54DF1930-A53A-4497-A342-C35996D3DB0B}"/>
    <hyperlink ref="A10" location="'5_Déchets'!A1" display="Déchets" xr:uid="{C5DFD26D-E6F5-4B52-8359-627692AF2B12}"/>
    <hyperlink ref="A22" location="'17_TransportMatériel'!A1" display="Transport de matériel et d'œuvres" xr:uid="{777E83E7-2486-41FE-894C-92357C3C6BDF}"/>
    <hyperlink ref="A23" location="'18_ImpressionsComPapier'!A1" display="Impression et communication papier" xr:uid="{E7251AB0-90C4-4BFF-ACB2-EE314F82767C}"/>
    <hyperlink ref="A24" location="'19_ComDigitale'!A1" display="Communication digitale" xr:uid="{D7FD02DD-F404-401B-B4F5-D6094075060F}"/>
    <hyperlink ref="A25" location="'20_Billetterie'!A1" display="Billetterie" xr:uid="{EEA9EAB0-0813-43AA-9552-13898749E78A}"/>
    <hyperlink ref="A20" location="'15_Alimentation'!A1" display="Alimentation" xr:uid="{06F88F7E-37AA-4871-A438-A0B612FC5D04}"/>
    <hyperlink ref="A14" location="'9_DéplacementsVisiteurs'!A1" display="Déplacements des visiteurs" xr:uid="{239808A1-F32E-4467-A9F1-3E261034CD25}"/>
    <hyperlink ref="A15" location="'10_Tournées artistiques'!A1" display="Tournées artistiques" xr:uid="{FF5A6E2B-B4F9-4CBE-B5B7-E48256E0E25D}"/>
    <hyperlink ref="A16" location="'11_Artistes invité.e.s'!A1" display="Artistes invité.e.s" xr:uid="{B3AE1517-25B4-402A-94B6-D51AEFC0014F}"/>
    <hyperlink ref="A9" location="'4_Bâtiments,travaux, agcmt'!A1" display="Bâtiments, travaux et agencements" xr:uid="{EB0A36FC-C463-4D52-911A-C1DD60800F14}"/>
    <hyperlink ref="A18" location="'13_Achats - Documents papiers'!A1" display="Achats - Documents papiers" xr:uid="{A97D7A6B-0C03-471F-806C-BE1E7AB8F794}"/>
    <hyperlink ref="A21" location="'16_Autres achats (€)'!A1" display="Autres achats" xr:uid="{3601EE8A-728E-494A-980E-2123CD9E2C20}"/>
    <hyperlink ref="A19" location="'14_Décors'!A1" display="Décors" xr:uid="{4D990C7B-A21A-403D-AB6E-81A268ECF8F9}"/>
    <hyperlink ref="A11" location="'6_DéplacementsPrestations'!A1" display="Déplacements de prestations" xr:uid="{7C58DB5D-C828-42ED-844C-CE3D59999EBD}"/>
  </hyperlink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errorStyle="information" allowBlank="1" showInputMessage="1" xr:uid="{00000000-0002-0000-0800-000002000000}">
          <x14:formula1>
            <xm:f>Liste!$A$2:$A$3</xm:f>
          </x14:formula1>
          <xm:sqref>E92:E113</xm:sqref>
        </x14:dataValidation>
        <x14:dataValidation type="list" errorStyle="information" allowBlank="1" showInputMessage="1" xr:uid="{458099A3-B7EF-4403-A436-F5E034BD774C}">
          <x14:formula1>
            <xm:f>'BDD FE'!$B$480:$B$492</xm:f>
          </x14:formula1>
          <xm:sqref>D171:D182</xm:sqref>
        </x14:dataValidation>
        <x14:dataValidation type="list" errorStyle="information" allowBlank="1" showInputMessage="1" xr:uid="{68E4B42A-72B9-49A7-93D2-39187ACD6D4A}">
          <x14:formula1>
            <xm:f>'BDD FE'!$B$531:$B$558</xm:f>
          </x14:formula1>
          <xm:sqref>D142:D152 D26:D36</xm:sqref>
        </x14:dataValidation>
        <x14:dataValidation type="list" errorStyle="information" allowBlank="1" showInputMessage="1" xr:uid="{89736D86-5CF0-49D2-B0DC-1514942D58FF}">
          <x14:formula1>
            <xm:f>'BDD FE'!$B$530:$B$559</xm:f>
          </x14:formula1>
          <xm:sqref>D25 D141</xm:sqref>
        </x14:dataValidation>
        <x14:dataValidation type="list" errorStyle="information" allowBlank="1" showInputMessage="1" xr:uid="{1813A7F8-0FEB-4040-B4AB-5DA7A0B263CD}">
          <x14:formula1>
            <xm:f>'BDD FE'!$B$94:$B$96</xm:f>
          </x14:formula1>
          <xm:sqref>C54:C60</xm:sqref>
        </x14:dataValidation>
        <x14:dataValidation type="list" errorStyle="information" allowBlank="1" showInputMessage="1" xr:uid="{50D43073-B186-4BA7-A115-7B914E459D58}">
          <x14:formula1>
            <xm:f>'BDD FE'!$B$172:$B$187</xm:f>
          </x14:formula1>
          <xm:sqref>C92:C113</xm:sqref>
        </x14:dataValidation>
        <x14:dataValidation type="list" errorStyle="information" allowBlank="1" showInputMessage="1" xr:uid="{F8225C93-A948-43F4-82FB-12188FC37BD3}">
          <x14:formula1>
            <xm:f>'BDD FE'!$B$722:$B$729</xm:f>
          </x14:formula1>
          <xm:sqref>D73:D83</xm:sqref>
        </x14:dataValidation>
        <x14:dataValidation type="list" errorStyle="information" allowBlank="1" showInputMessage="1" xr:uid="{7EA92A41-6ED2-4B88-B074-373BBC378281}">
          <x14:formula1>
            <xm:f>'BDD FE'!$B$513:$B$522</xm:f>
          </x14:formula1>
          <xm:sqref>F25:F36</xm:sqref>
        </x14:dataValidation>
        <x14:dataValidation type="list" allowBlank="1" showInputMessage="1" showErrorMessage="1" xr:uid="{D11543E9-B712-4E11-8459-166254344A84}">
          <x14:formula1>
            <xm:f>'BDD FE'!$H$480:$H$498</xm:f>
          </x14:formula1>
          <xm:sqref>F171:F182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3">
    <tabColor theme="0" tint="-0.34998626667073579"/>
  </sheetPr>
  <dimension ref="A1:O731"/>
  <sheetViews>
    <sheetView showGridLines="0" topLeftCell="A126" zoomScale="54" zoomScaleNormal="60" workbookViewId="0">
      <selection activeCell="B129" sqref="B129:F148"/>
    </sheetView>
  </sheetViews>
  <sheetFormatPr baseColWidth="10" defaultColWidth="11.453125" defaultRowHeight="14"/>
  <cols>
    <col min="1" max="1" width="39.36328125" style="146" customWidth="1"/>
    <col min="2" max="2" width="45.54296875" style="146" customWidth="1"/>
    <col min="3" max="3" width="24.1796875" style="275" customWidth="1"/>
    <col min="4" max="4" width="24.1796875" style="146" customWidth="1"/>
    <col min="5" max="5" width="64.54296875" style="146" customWidth="1"/>
    <col min="6" max="7" width="24.1796875" style="146" customWidth="1"/>
    <col min="8" max="8" width="101.36328125" style="146" customWidth="1"/>
    <col min="9" max="9" width="23.1796875" style="146" customWidth="1"/>
    <col min="10" max="10" width="17" style="146" customWidth="1"/>
    <col min="11" max="11" width="12.90625" style="146" customWidth="1"/>
    <col min="12" max="13" width="19" style="146" customWidth="1"/>
    <col min="14" max="14" width="60.36328125" style="146" customWidth="1"/>
    <col min="15" max="15" width="49.81640625" style="146" customWidth="1"/>
    <col min="16" max="16" width="40.36328125" style="146" customWidth="1"/>
    <col min="17" max="16384" width="11.453125" style="146"/>
  </cols>
  <sheetData>
    <row r="1" spans="1:15" ht="14.5" thickBot="1">
      <c r="A1" s="363"/>
      <c r="B1" s="363"/>
      <c r="C1" s="364"/>
      <c r="D1" s="363"/>
      <c r="E1" s="363"/>
      <c r="F1" s="363"/>
      <c r="G1" s="363"/>
      <c r="H1" s="363"/>
      <c r="I1" s="363"/>
      <c r="J1" s="363"/>
      <c r="K1" s="363"/>
      <c r="L1" s="363"/>
      <c r="M1" s="363"/>
      <c r="N1" s="363"/>
      <c r="O1" s="363"/>
    </row>
    <row r="2" spans="1:15" ht="20">
      <c r="A2" s="649" t="s">
        <v>3595</v>
      </c>
      <c r="B2" s="572"/>
      <c r="C2" s="572"/>
      <c r="D2" s="572"/>
      <c r="E2" s="572"/>
      <c r="F2" s="572"/>
      <c r="G2" s="572"/>
      <c r="H2" s="572"/>
      <c r="I2" s="572"/>
      <c r="J2" s="572"/>
      <c r="K2" s="572"/>
      <c r="L2" s="572"/>
      <c r="M2" s="572"/>
      <c r="N2" s="572"/>
      <c r="O2" s="573"/>
    </row>
    <row r="3" spans="1:15">
      <c r="A3" s="363"/>
      <c r="B3" s="363"/>
      <c r="C3" s="364"/>
      <c r="D3" s="363"/>
      <c r="E3" s="363"/>
      <c r="F3" s="363"/>
      <c r="G3" s="363"/>
      <c r="H3" s="363"/>
      <c r="I3" s="363"/>
      <c r="J3" s="363"/>
      <c r="K3" s="363"/>
      <c r="L3" s="363"/>
      <c r="M3" s="363"/>
      <c r="N3" s="363"/>
      <c r="O3" s="363"/>
    </row>
    <row r="4" spans="1:15">
      <c r="A4" s="363"/>
      <c r="B4" s="700" t="s">
        <v>3596</v>
      </c>
      <c r="C4" s="700"/>
      <c r="D4" s="700"/>
      <c r="E4" s="700"/>
      <c r="F4" s="363"/>
      <c r="G4" s="363"/>
      <c r="H4" s="363"/>
      <c r="I4" s="363"/>
      <c r="J4" s="363"/>
      <c r="K4" s="363"/>
      <c r="L4" s="363"/>
      <c r="M4" s="363"/>
      <c r="N4" s="363"/>
      <c r="O4" s="363"/>
    </row>
    <row r="5" spans="1:15">
      <c r="A5" s="363"/>
      <c r="B5" s="363"/>
      <c r="C5" s="364"/>
      <c r="D5" s="363"/>
      <c r="E5" s="363"/>
      <c r="F5" s="363"/>
      <c r="G5" s="363"/>
      <c r="H5" s="363"/>
      <c r="I5" s="363"/>
      <c r="J5" s="363"/>
      <c r="K5" s="363"/>
      <c r="L5" s="363"/>
      <c r="M5" s="363"/>
      <c r="N5" s="363"/>
      <c r="O5" s="363"/>
    </row>
    <row r="6" spans="1:15">
      <c r="A6" s="346" t="s">
        <v>3464</v>
      </c>
      <c r="B6" s="265" t="s">
        <v>208</v>
      </c>
      <c r="C6" s="266" t="s">
        <v>209</v>
      </c>
      <c r="D6" s="265" t="s">
        <v>166</v>
      </c>
      <c r="E6" s="265" t="s">
        <v>210</v>
      </c>
      <c r="F6" s="363"/>
      <c r="G6" s="363"/>
      <c r="H6" s="363"/>
      <c r="I6" s="363"/>
      <c r="J6" s="363"/>
      <c r="K6" s="363"/>
      <c r="L6" s="363"/>
      <c r="M6" s="363"/>
      <c r="N6" s="363"/>
      <c r="O6" s="363"/>
    </row>
    <row r="7" spans="1:15">
      <c r="A7" s="363"/>
      <c r="B7" s="267" t="s">
        <v>49</v>
      </c>
      <c r="C7" s="1">
        <v>5.8000000000000003E-2</v>
      </c>
      <c r="D7" s="267" t="s">
        <v>30</v>
      </c>
      <c r="E7" s="267" t="s">
        <v>3597</v>
      </c>
      <c r="F7" s="363"/>
      <c r="G7" s="363"/>
      <c r="H7" s="363"/>
      <c r="I7" s="363"/>
      <c r="J7" s="363"/>
      <c r="K7" s="363"/>
      <c r="L7" s="363"/>
      <c r="M7" s="363"/>
      <c r="N7" s="363"/>
      <c r="O7" s="363"/>
    </row>
    <row r="8" spans="1:15">
      <c r="A8" s="363"/>
      <c r="B8" s="267" t="s">
        <v>51</v>
      </c>
      <c r="C8" s="1">
        <v>0.23899999999999999</v>
      </c>
      <c r="D8" s="267" t="s">
        <v>211</v>
      </c>
      <c r="E8" s="267" t="s">
        <v>3598</v>
      </c>
      <c r="F8" s="363"/>
      <c r="G8" s="363"/>
      <c r="H8" s="363"/>
      <c r="I8" s="363"/>
      <c r="J8" s="363"/>
      <c r="K8" s="363"/>
      <c r="L8" s="363"/>
      <c r="M8" s="363"/>
      <c r="N8" s="363"/>
      <c r="O8" s="363"/>
    </row>
    <row r="9" spans="1:15">
      <c r="A9" s="363"/>
      <c r="B9" s="267" t="s">
        <v>53</v>
      </c>
      <c r="C9" s="1">
        <v>3.04E-2</v>
      </c>
      <c r="D9" s="267" t="s">
        <v>211</v>
      </c>
      <c r="E9" s="373" t="s">
        <v>212</v>
      </c>
      <c r="F9" s="363" t="s">
        <v>3599</v>
      </c>
      <c r="G9" s="363"/>
      <c r="H9" s="363"/>
      <c r="I9" s="363"/>
      <c r="J9" s="363"/>
      <c r="K9" s="363"/>
      <c r="L9" s="363"/>
      <c r="M9" s="363"/>
      <c r="N9" s="363"/>
      <c r="O9" s="363"/>
    </row>
    <row r="10" spans="1:15">
      <c r="A10" s="363"/>
      <c r="B10" s="267" t="s">
        <v>55</v>
      </c>
      <c r="C10" s="2">
        <v>111</v>
      </c>
      <c r="D10" s="267" t="s">
        <v>213</v>
      </c>
      <c r="E10" s="373" t="s">
        <v>212</v>
      </c>
      <c r="F10" s="363" t="s">
        <v>3599</v>
      </c>
      <c r="G10" s="363"/>
      <c r="H10" s="363"/>
      <c r="I10" s="363"/>
      <c r="J10" s="363"/>
      <c r="K10" s="363"/>
      <c r="L10" s="363"/>
      <c r="M10" s="363"/>
      <c r="N10" s="363"/>
      <c r="O10" s="363"/>
    </row>
    <row r="11" spans="1:15">
      <c r="A11" s="363"/>
      <c r="B11" s="267" t="s">
        <v>57</v>
      </c>
      <c r="C11" s="1">
        <v>2.4400000000000002E-2</v>
      </c>
      <c r="D11" s="267" t="s">
        <v>211</v>
      </c>
      <c r="E11" s="373" t="s">
        <v>214</v>
      </c>
      <c r="F11" s="363" t="s">
        <v>3599</v>
      </c>
      <c r="G11" s="363"/>
      <c r="H11" s="363"/>
      <c r="I11" s="363"/>
      <c r="J11" s="363"/>
      <c r="K11" s="363"/>
      <c r="L11" s="363"/>
      <c r="M11" s="363"/>
      <c r="N11" s="363"/>
      <c r="O11" s="363"/>
    </row>
    <row r="12" spans="1:15">
      <c r="A12" s="363"/>
      <c r="B12" s="267" t="s">
        <v>59</v>
      </c>
      <c r="C12" s="2">
        <v>88.9</v>
      </c>
      <c r="D12" s="267" t="s">
        <v>213</v>
      </c>
      <c r="E12" s="373" t="s">
        <v>214</v>
      </c>
      <c r="F12" s="363" t="s">
        <v>3599</v>
      </c>
      <c r="G12" s="363"/>
      <c r="H12" s="363"/>
      <c r="I12" s="363"/>
      <c r="J12" s="363"/>
      <c r="K12" s="363"/>
      <c r="L12" s="363"/>
      <c r="M12" s="363"/>
      <c r="N12" s="363"/>
      <c r="O12" s="363"/>
    </row>
    <row r="13" spans="1:15">
      <c r="A13" s="363"/>
      <c r="B13" s="267" t="s">
        <v>60</v>
      </c>
      <c r="C13" s="1">
        <v>3.25</v>
      </c>
      <c r="D13" s="267" t="s">
        <v>215</v>
      </c>
      <c r="E13" s="267" t="s">
        <v>216</v>
      </c>
      <c r="F13" s="363"/>
      <c r="G13" s="363"/>
      <c r="H13" s="363"/>
      <c r="I13" s="363"/>
      <c r="J13" s="363"/>
      <c r="K13" s="363"/>
      <c r="L13" s="363"/>
      <c r="M13" s="363"/>
      <c r="N13" s="363"/>
      <c r="O13" s="363"/>
    </row>
    <row r="14" spans="1:15">
      <c r="A14" s="363"/>
      <c r="B14" s="267" t="s">
        <v>61</v>
      </c>
      <c r="C14" s="1">
        <v>0.32400000000000001</v>
      </c>
      <c r="D14" s="267" t="s">
        <v>211</v>
      </c>
      <c r="E14" s="267" t="s">
        <v>216</v>
      </c>
      <c r="F14" s="363"/>
      <c r="G14" s="363"/>
      <c r="H14" s="363"/>
      <c r="I14" s="363"/>
      <c r="J14" s="363"/>
      <c r="K14" s="363"/>
      <c r="L14" s="363"/>
      <c r="M14" s="363"/>
      <c r="N14" s="363"/>
      <c r="O14" s="363"/>
    </row>
    <row r="15" spans="1:15">
      <c r="A15" s="363"/>
      <c r="B15" s="267" t="s">
        <v>62</v>
      </c>
      <c r="C15" s="1">
        <v>0.27300000000000002</v>
      </c>
      <c r="D15" s="267" t="s">
        <v>213</v>
      </c>
      <c r="E15" s="267" t="s">
        <v>217</v>
      </c>
      <c r="F15" s="363"/>
      <c r="G15" s="363"/>
      <c r="H15" s="363"/>
      <c r="I15" s="363"/>
      <c r="J15" s="363"/>
      <c r="K15" s="363"/>
      <c r="L15" s="363"/>
      <c r="M15" s="363"/>
      <c r="N15" s="363"/>
      <c r="O15" s="363"/>
    </row>
    <row r="16" spans="1:15">
      <c r="A16" s="363"/>
      <c r="B16" s="267" t="s">
        <v>63</v>
      </c>
      <c r="C16" s="1">
        <v>0.27200000000000002</v>
      </c>
      <c r="D16" s="267" t="s">
        <v>213</v>
      </c>
      <c r="E16" s="267" t="s">
        <v>218</v>
      </c>
      <c r="F16" s="363"/>
      <c r="G16" s="363"/>
      <c r="H16" s="363"/>
      <c r="I16" s="363"/>
      <c r="J16" s="363"/>
      <c r="K16" s="363"/>
      <c r="L16" s="363"/>
      <c r="M16" s="363"/>
      <c r="N16" s="363"/>
      <c r="O16" s="363"/>
    </row>
    <row r="17" spans="1:15">
      <c r="A17" s="363"/>
      <c r="B17" s="267" t="s">
        <v>64</v>
      </c>
      <c r="C17" s="1">
        <v>0.123</v>
      </c>
      <c r="D17" s="267" t="s">
        <v>211</v>
      </c>
      <c r="E17" s="373" t="s">
        <v>3602</v>
      </c>
      <c r="F17" s="363" t="s">
        <v>3600</v>
      </c>
      <c r="G17" s="363"/>
      <c r="H17" s="363"/>
      <c r="I17" s="363"/>
      <c r="J17" s="363"/>
      <c r="K17" s="363"/>
      <c r="L17" s="363"/>
      <c r="M17" s="363"/>
      <c r="N17" s="363"/>
      <c r="O17" s="363"/>
    </row>
    <row r="18" spans="1:15">
      <c r="A18" s="363"/>
      <c r="B18" s="267" t="s">
        <v>65</v>
      </c>
      <c r="C18" s="1">
        <v>0.111</v>
      </c>
      <c r="D18" s="267" t="s">
        <v>211</v>
      </c>
      <c r="E18" s="373" t="s">
        <v>3603</v>
      </c>
      <c r="F18" s="363" t="s">
        <v>3600</v>
      </c>
      <c r="G18" s="363"/>
      <c r="H18" s="363"/>
      <c r="I18" s="363"/>
      <c r="J18" s="363"/>
      <c r="K18" s="363"/>
      <c r="L18" s="363"/>
      <c r="M18" s="363"/>
      <c r="N18" s="363"/>
      <c r="O18" s="363"/>
    </row>
    <row r="19" spans="1:15">
      <c r="A19" s="363"/>
      <c r="B19" s="267" t="s">
        <v>66</v>
      </c>
      <c r="C19" s="1">
        <v>0.13100000000000001</v>
      </c>
      <c r="D19" s="267" t="s">
        <v>211</v>
      </c>
      <c r="E19" s="373" t="s">
        <v>3604</v>
      </c>
      <c r="F19" s="363" t="s">
        <v>3600</v>
      </c>
      <c r="G19" s="363"/>
      <c r="H19" s="363"/>
      <c r="I19" s="363"/>
      <c r="J19" s="363"/>
      <c r="K19" s="363"/>
      <c r="L19" s="363"/>
      <c r="M19" s="363"/>
      <c r="N19" s="363"/>
      <c r="O19" s="363"/>
    </row>
    <row r="20" spans="1:15">
      <c r="A20" s="363"/>
      <c r="B20" s="267" t="s">
        <v>67</v>
      </c>
      <c r="C20" s="1">
        <v>0.152</v>
      </c>
      <c r="D20" s="267" t="s">
        <v>211</v>
      </c>
      <c r="E20" s="373" t="s">
        <v>3605</v>
      </c>
      <c r="F20" s="363" t="s">
        <v>3600</v>
      </c>
      <c r="G20" s="363"/>
      <c r="H20" s="363"/>
      <c r="I20" s="363"/>
      <c r="J20" s="363"/>
      <c r="K20" s="363"/>
      <c r="L20" s="363"/>
      <c r="M20" s="363"/>
      <c r="N20" s="363"/>
      <c r="O20" s="363"/>
    </row>
    <row r="21" spans="1:15">
      <c r="A21" s="363"/>
      <c r="B21" s="267" t="s">
        <v>68</v>
      </c>
      <c r="C21" s="1">
        <v>0.14399999999999999</v>
      </c>
      <c r="D21" s="267" t="s">
        <v>211</v>
      </c>
      <c r="E21" s="373" t="s">
        <v>3606</v>
      </c>
      <c r="F21" s="363" t="s">
        <v>3600</v>
      </c>
      <c r="G21" s="363"/>
      <c r="H21" s="363"/>
      <c r="I21" s="363"/>
      <c r="J21" s="363"/>
      <c r="K21" s="363"/>
      <c r="L21" s="363"/>
      <c r="M21" s="363"/>
      <c r="N21" s="363"/>
      <c r="O21" s="363"/>
    </row>
    <row r="22" spans="1:15">
      <c r="A22" s="363"/>
      <c r="B22" s="267" t="s">
        <v>69</v>
      </c>
      <c r="C22" s="1">
        <f>43.9*10^-3</f>
        <v>4.3900000000000002E-2</v>
      </c>
      <c r="D22" s="267" t="s">
        <v>30</v>
      </c>
      <c r="E22" s="267" t="s">
        <v>219</v>
      </c>
      <c r="F22" s="363"/>
      <c r="G22" s="363"/>
      <c r="H22" s="363"/>
      <c r="I22" s="363"/>
      <c r="J22" s="363"/>
      <c r="K22" s="363"/>
      <c r="L22" s="363"/>
      <c r="M22" s="363"/>
      <c r="N22" s="363"/>
      <c r="O22" s="363"/>
    </row>
    <row r="23" spans="1:15">
      <c r="A23" s="363"/>
      <c r="B23" s="363"/>
      <c r="C23" s="364"/>
      <c r="D23" s="363"/>
      <c r="E23" s="363"/>
      <c r="F23" s="363"/>
      <c r="G23" s="363"/>
      <c r="H23" s="363"/>
      <c r="I23" s="363"/>
      <c r="J23" s="363"/>
      <c r="K23" s="363"/>
      <c r="L23" s="363"/>
      <c r="M23" s="363"/>
      <c r="N23" s="363"/>
      <c r="O23" s="363"/>
    </row>
    <row r="24" spans="1:15">
      <c r="A24" s="363"/>
      <c r="B24" s="267" t="s">
        <v>220</v>
      </c>
      <c r="C24" s="495">
        <f>C11/C12</f>
        <v>2.7446569178852642E-4</v>
      </c>
      <c r="D24" s="146" t="s">
        <v>221</v>
      </c>
      <c r="E24" s="363"/>
      <c r="F24" s="363"/>
      <c r="G24" s="363"/>
      <c r="H24" s="363"/>
      <c r="I24" s="363"/>
      <c r="J24" s="363"/>
      <c r="K24" s="363"/>
      <c r="L24" s="363"/>
      <c r="M24" s="363"/>
      <c r="N24" s="363"/>
      <c r="O24" s="363"/>
    </row>
    <row r="25" spans="1:15">
      <c r="A25" s="363"/>
      <c r="B25" s="267" t="s">
        <v>222</v>
      </c>
      <c r="C25" s="2">
        <f>C14/C13</f>
        <v>9.9692307692307691E-2</v>
      </c>
      <c r="D25" s="146" t="s">
        <v>223</v>
      </c>
      <c r="E25" s="363"/>
      <c r="F25" s="363"/>
      <c r="G25" s="363"/>
      <c r="H25" s="363"/>
      <c r="I25" s="363"/>
      <c r="J25" s="363"/>
      <c r="K25" s="363"/>
      <c r="L25" s="363"/>
      <c r="M25" s="363"/>
      <c r="N25" s="363"/>
      <c r="O25" s="363"/>
    </row>
    <row r="26" spans="1:15">
      <c r="A26" s="363"/>
      <c r="B26" s="267" t="s">
        <v>224</v>
      </c>
      <c r="C26" s="495">
        <f>C9/C10</f>
        <v>2.7387387387387387E-4</v>
      </c>
      <c r="D26" s="146" t="s">
        <v>221</v>
      </c>
      <c r="E26" s="363"/>
      <c r="F26" s="363"/>
      <c r="G26" s="363"/>
      <c r="H26" s="363"/>
      <c r="I26" s="363"/>
      <c r="J26" s="363"/>
      <c r="K26" s="363"/>
      <c r="L26" s="363"/>
      <c r="M26" s="363"/>
      <c r="N26" s="363"/>
      <c r="O26" s="363"/>
    </row>
    <row r="27" spans="1:15">
      <c r="A27" s="363"/>
      <c r="B27" s="363"/>
      <c r="C27" s="364"/>
      <c r="D27" s="363"/>
      <c r="E27" s="363"/>
      <c r="F27" s="363"/>
      <c r="G27" s="363"/>
      <c r="H27" s="363"/>
      <c r="I27" s="363"/>
      <c r="J27" s="363"/>
      <c r="K27" s="363"/>
      <c r="L27" s="363"/>
      <c r="M27" s="363"/>
      <c r="N27" s="363"/>
      <c r="O27" s="363"/>
    </row>
    <row r="28" spans="1:15">
      <c r="A28" s="363"/>
      <c r="B28" s="363"/>
      <c r="C28" s="364"/>
      <c r="D28" s="363"/>
      <c r="E28" s="363"/>
      <c r="F28" s="363"/>
      <c r="G28" s="363"/>
      <c r="H28" s="363"/>
      <c r="I28" s="363"/>
      <c r="J28" s="363"/>
      <c r="K28" s="363"/>
      <c r="L28" s="363"/>
      <c r="M28" s="363"/>
      <c r="N28" s="363"/>
      <c r="O28" s="363"/>
    </row>
    <row r="29" spans="1:15">
      <c r="A29" s="363"/>
      <c r="B29" s="363"/>
      <c r="C29" s="364"/>
      <c r="D29" s="363"/>
      <c r="E29" s="363"/>
      <c r="F29" s="363"/>
      <c r="G29" s="363"/>
      <c r="H29" s="363"/>
      <c r="I29" s="363"/>
      <c r="J29" s="363"/>
      <c r="K29" s="363"/>
      <c r="L29" s="363"/>
      <c r="M29" s="363"/>
      <c r="N29" s="363"/>
      <c r="O29" s="363"/>
    </row>
    <row r="30" spans="1:15">
      <c r="A30" s="346" t="s">
        <v>3465</v>
      </c>
      <c r="B30" s="265" t="s">
        <v>225</v>
      </c>
      <c r="C30" s="1">
        <v>0.13200000000000001</v>
      </c>
      <c r="D30" s="267" t="s">
        <v>31</v>
      </c>
      <c r="E30" s="267" t="s">
        <v>226</v>
      </c>
      <c r="F30" s="363"/>
      <c r="G30" s="363"/>
      <c r="H30" s="363"/>
      <c r="I30" s="363"/>
      <c r="J30" s="363"/>
      <c r="K30" s="363"/>
      <c r="L30" s="363"/>
      <c r="M30" s="363"/>
      <c r="N30" s="363"/>
      <c r="O30" s="363"/>
    </row>
    <row r="31" spans="1:15">
      <c r="A31" s="363"/>
      <c r="B31" s="363"/>
      <c r="C31" s="364"/>
      <c r="D31" s="363"/>
      <c r="E31" s="363"/>
      <c r="F31" s="363"/>
      <c r="G31" s="363"/>
      <c r="H31" s="363"/>
      <c r="I31" s="363"/>
      <c r="J31" s="363"/>
      <c r="K31" s="363"/>
      <c r="L31" s="363"/>
      <c r="M31" s="363"/>
      <c r="N31" s="363"/>
      <c r="O31" s="363"/>
    </row>
    <row r="32" spans="1:15">
      <c r="A32" s="346" t="s">
        <v>3466</v>
      </c>
      <c r="B32" s="265" t="s">
        <v>7</v>
      </c>
      <c r="C32" s="266" t="s">
        <v>209</v>
      </c>
      <c r="D32" s="265" t="s">
        <v>166</v>
      </c>
      <c r="E32" s="265" t="s">
        <v>210</v>
      </c>
      <c r="F32" s="363"/>
      <c r="G32" s="363"/>
      <c r="H32" s="363"/>
      <c r="I32" s="363"/>
      <c r="J32" s="363"/>
      <c r="K32" s="363"/>
      <c r="L32" s="363"/>
      <c r="M32" s="363"/>
      <c r="N32" s="363"/>
      <c r="O32" s="363"/>
    </row>
    <row r="33" spans="1:15">
      <c r="A33" s="363"/>
      <c r="B33" s="267" t="s">
        <v>227</v>
      </c>
      <c r="C33" s="2">
        <v>4660</v>
      </c>
      <c r="D33" s="267" t="s">
        <v>228</v>
      </c>
      <c r="E33" s="267" t="s">
        <v>229</v>
      </c>
      <c r="F33" s="363"/>
      <c r="G33" s="363"/>
      <c r="H33" s="363"/>
      <c r="I33" s="363"/>
      <c r="J33" s="363"/>
      <c r="K33" s="363"/>
      <c r="L33" s="363"/>
      <c r="M33" s="363"/>
      <c r="N33" s="363"/>
      <c r="O33" s="363"/>
    </row>
    <row r="34" spans="1:15">
      <c r="A34" s="363"/>
      <c r="B34" s="267" t="s">
        <v>230</v>
      </c>
      <c r="C34" s="2">
        <v>6630</v>
      </c>
      <c r="D34" s="267" t="s">
        <v>228</v>
      </c>
      <c r="E34" s="267" t="s">
        <v>229</v>
      </c>
      <c r="F34" s="363"/>
      <c r="G34" s="363"/>
      <c r="H34" s="363"/>
      <c r="I34" s="363"/>
      <c r="J34" s="363"/>
      <c r="K34" s="363"/>
      <c r="L34" s="363"/>
      <c r="M34" s="363"/>
      <c r="N34" s="363"/>
      <c r="O34" s="363"/>
    </row>
    <row r="35" spans="1:15">
      <c r="A35" s="363"/>
      <c r="B35" s="267" t="s">
        <v>231</v>
      </c>
      <c r="C35" s="2">
        <v>12400</v>
      </c>
      <c r="D35" s="267" t="s">
        <v>228</v>
      </c>
      <c r="E35" s="267" t="s">
        <v>229</v>
      </c>
      <c r="F35" s="363"/>
      <c r="G35" s="363"/>
      <c r="H35" s="363"/>
      <c r="I35" s="363"/>
      <c r="J35" s="363"/>
      <c r="K35" s="363"/>
      <c r="L35" s="363"/>
      <c r="M35" s="363"/>
      <c r="N35" s="363"/>
      <c r="O35" s="363"/>
    </row>
    <row r="36" spans="1:15">
      <c r="A36" s="363"/>
      <c r="B36" s="267" t="s">
        <v>232</v>
      </c>
      <c r="C36" s="2">
        <v>677</v>
      </c>
      <c r="D36" s="267" t="s">
        <v>228</v>
      </c>
      <c r="E36" s="267" t="s">
        <v>229</v>
      </c>
      <c r="F36" s="363"/>
      <c r="G36" s="363"/>
      <c r="H36" s="363"/>
      <c r="I36" s="363"/>
      <c r="J36" s="363"/>
      <c r="K36" s="363"/>
      <c r="L36" s="363"/>
      <c r="M36" s="363"/>
      <c r="N36" s="363"/>
      <c r="O36" s="363"/>
    </row>
    <row r="37" spans="1:15">
      <c r="A37" s="363"/>
      <c r="B37" s="267" t="s">
        <v>233</v>
      </c>
      <c r="C37" s="2">
        <v>5820</v>
      </c>
      <c r="D37" s="267" t="s">
        <v>228</v>
      </c>
      <c r="E37" s="267" t="s">
        <v>229</v>
      </c>
      <c r="F37" s="363"/>
      <c r="G37" s="363"/>
      <c r="H37" s="363"/>
      <c r="I37" s="363"/>
      <c r="J37" s="363"/>
      <c r="K37" s="363"/>
      <c r="L37" s="363"/>
      <c r="M37" s="363"/>
      <c r="N37" s="363"/>
      <c r="O37" s="363"/>
    </row>
    <row r="38" spans="1:15">
      <c r="A38" s="363"/>
      <c r="B38" s="267" t="s">
        <v>234</v>
      </c>
      <c r="C38" s="2">
        <v>8590</v>
      </c>
      <c r="D38" s="267" t="s">
        <v>228</v>
      </c>
      <c r="E38" s="267" t="s">
        <v>229</v>
      </c>
      <c r="F38" s="363"/>
      <c r="G38" s="363"/>
      <c r="H38" s="363"/>
      <c r="I38" s="363"/>
      <c r="J38" s="363"/>
      <c r="K38" s="363"/>
      <c r="L38" s="363"/>
      <c r="M38" s="363"/>
      <c r="N38" s="363"/>
      <c r="O38" s="363"/>
    </row>
    <row r="39" spans="1:15">
      <c r="A39" s="363"/>
      <c r="B39" s="267" t="s">
        <v>235</v>
      </c>
      <c r="C39" s="2">
        <v>7670</v>
      </c>
      <c r="D39" s="267" t="s">
        <v>228</v>
      </c>
      <c r="E39" s="267" t="s">
        <v>229</v>
      </c>
      <c r="F39" s="363"/>
      <c r="G39" s="363"/>
      <c r="H39" s="363"/>
      <c r="I39" s="363"/>
      <c r="J39" s="363"/>
      <c r="K39" s="363"/>
      <c r="L39" s="363"/>
      <c r="M39" s="363"/>
      <c r="N39" s="363"/>
      <c r="O39" s="363"/>
    </row>
    <row r="40" spans="1:15">
      <c r="A40" s="363"/>
      <c r="B40" s="267" t="s">
        <v>236</v>
      </c>
      <c r="C40" s="2">
        <v>11100</v>
      </c>
      <c r="D40" s="267" t="s">
        <v>228</v>
      </c>
      <c r="E40" s="267" t="s">
        <v>229</v>
      </c>
      <c r="F40" s="363"/>
      <c r="G40" s="363"/>
      <c r="H40" s="363"/>
      <c r="I40" s="363"/>
      <c r="J40" s="363"/>
      <c r="K40" s="363"/>
      <c r="L40" s="363"/>
      <c r="M40" s="363"/>
      <c r="N40" s="363"/>
      <c r="O40" s="363"/>
    </row>
    <row r="41" spans="1:15">
      <c r="A41" s="363"/>
      <c r="B41" s="267" t="s">
        <v>237</v>
      </c>
      <c r="C41" s="2">
        <v>10200</v>
      </c>
      <c r="D41" s="267" t="s">
        <v>228</v>
      </c>
      <c r="E41" s="267" t="s">
        <v>229</v>
      </c>
      <c r="F41" s="363"/>
      <c r="G41" s="363"/>
      <c r="H41" s="363"/>
      <c r="I41" s="363"/>
      <c r="J41" s="363"/>
      <c r="K41" s="363"/>
      <c r="L41" s="363"/>
      <c r="M41" s="363"/>
      <c r="N41" s="363"/>
      <c r="O41" s="363"/>
    </row>
    <row r="42" spans="1:15">
      <c r="A42" s="363"/>
      <c r="B42" s="267" t="s">
        <v>238</v>
      </c>
      <c r="C42" s="2">
        <v>59</v>
      </c>
      <c r="D42" s="267" t="s">
        <v>228</v>
      </c>
      <c r="E42" s="267" t="s">
        <v>229</v>
      </c>
      <c r="F42" s="363"/>
      <c r="G42" s="363"/>
      <c r="H42" s="363"/>
      <c r="I42" s="363"/>
      <c r="J42" s="363"/>
      <c r="K42" s="363"/>
      <c r="L42" s="363"/>
      <c r="M42" s="363"/>
      <c r="N42" s="363"/>
      <c r="O42" s="363"/>
    </row>
    <row r="43" spans="1:15">
      <c r="A43" s="363"/>
      <c r="B43" s="267" t="s">
        <v>239</v>
      </c>
      <c r="C43" s="2">
        <v>258</v>
      </c>
      <c r="D43" s="267" t="s">
        <v>228</v>
      </c>
      <c r="E43" s="267" t="s">
        <v>229</v>
      </c>
      <c r="F43" s="363"/>
      <c r="G43" s="363"/>
      <c r="H43" s="363"/>
      <c r="I43" s="363"/>
      <c r="J43" s="363"/>
      <c r="K43" s="363"/>
      <c r="L43" s="363"/>
      <c r="M43" s="363"/>
      <c r="N43" s="363"/>
      <c r="O43" s="363"/>
    </row>
    <row r="44" spans="1:15">
      <c r="A44" s="363"/>
      <c r="B44" s="267" t="s">
        <v>240</v>
      </c>
      <c r="C44" s="2">
        <v>79</v>
      </c>
      <c r="D44" s="267" t="s">
        <v>228</v>
      </c>
      <c r="E44" s="267" t="s">
        <v>229</v>
      </c>
      <c r="F44" s="363"/>
      <c r="G44" s="363"/>
      <c r="H44" s="363"/>
      <c r="I44" s="363"/>
      <c r="J44" s="363"/>
      <c r="K44" s="363"/>
      <c r="L44" s="363"/>
      <c r="M44" s="363"/>
      <c r="N44" s="363"/>
      <c r="O44" s="363"/>
    </row>
    <row r="45" spans="1:15">
      <c r="A45" s="363"/>
      <c r="B45" s="267" t="s">
        <v>241</v>
      </c>
      <c r="C45" s="2">
        <v>370</v>
      </c>
      <c r="D45" s="267" t="s">
        <v>228</v>
      </c>
      <c r="E45" s="267" t="s">
        <v>229</v>
      </c>
      <c r="F45" s="363"/>
      <c r="G45" s="363"/>
      <c r="H45" s="363"/>
      <c r="I45" s="363"/>
      <c r="J45" s="363"/>
      <c r="K45" s="363"/>
      <c r="L45" s="363"/>
      <c r="M45" s="363"/>
      <c r="N45" s="363"/>
      <c r="O45" s="363"/>
    </row>
    <row r="46" spans="1:15">
      <c r="A46" s="363"/>
      <c r="B46" s="267" t="s">
        <v>242</v>
      </c>
      <c r="C46" s="2">
        <v>527</v>
      </c>
      <c r="D46" s="267" t="s">
        <v>228</v>
      </c>
      <c r="E46" s="267" t="s">
        <v>229</v>
      </c>
      <c r="F46" s="363"/>
      <c r="G46" s="363"/>
      <c r="H46" s="363"/>
      <c r="I46" s="363"/>
      <c r="J46" s="363"/>
      <c r="K46" s="363"/>
      <c r="L46" s="363"/>
      <c r="M46" s="363"/>
      <c r="N46" s="363"/>
      <c r="O46" s="363"/>
    </row>
    <row r="47" spans="1:15">
      <c r="A47" s="363"/>
      <c r="B47" s="267" t="s">
        <v>243</v>
      </c>
      <c r="C47" s="2">
        <v>3170</v>
      </c>
      <c r="D47" s="267" t="s">
        <v>228</v>
      </c>
      <c r="E47" s="267" t="s">
        <v>229</v>
      </c>
      <c r="F47" s="363"/>
      <c r="G47" s="363"/>
      <c r="H47" s="363"/>
      <c r="I47" s="363"/>
      <c r="J47" s="363"/>
      <c r="K47" s="363"/>
      <c r="L47" s="363"/>
      <c r="M47" s="363"/>
      <c r="N47" s="363"/>
      <c r="O47" s="363"/>
    </row>
    <row r="48" spans="1:15">
      <c r="A48" s="363"/>
      <c r="B48" s="267" t="s">
        <v>244</v>
      </c>
      <c r="C48" s="2">
        <v>13900</v>
      </c>
      <c r="D48" s="267" t="s">
        <v>228</v>
      </c>
      <c r="E48" s="267" t="s">
        <v>229</v>
      </c>
      <c r="F48" s="363"/>
      <c r="G48" s="363"/>
      <c r="H48" s="363"/>
      <c r="I48" s="363"/>
      <c r="J48" s="363"/>
      <c r="K48" s="363"/>
      <c r="L48" s="363"/>
      <c r="M48" s="363"/>
      <c r="N48" s="363"/>
      <c r="O48" s="363"/>
    </row>
    <row r="49" spans="1:15">
      <c r="A49" s="363"/>
      <c r="B49" s="267" t="s">
        <v>245</v>
      </c>
      <c r="C49" s="2">
        <v>338</v>
      </c>
      <c r="D49" s="267" t="s">
        <v>228</v>
      </c>
      <c r="E49" s="267" t="s">
        <v>229</v>
      </c>
      <c r="F49" s="363"/>
      <c r="G49" s="363"/>
      <c r="H49" s="363"/>
      <c r="I49" s="363"/>
      <c r="J49" s="363"/>
      <c r="K49" s="363"/>
      <c r="L49" s="363"/>
      <c r="M49" s="363"/>
      <c r="N49" s="363"/>
      <c r="O49" s="363"/>
    </row>
    <row r="50" spans="1:15">
      <c r="A50" s="363"/>
      <c r="B50" s="267" t="s">
        <v>246</v>
      </c>
      <c r="C50" s="2">
        <v>1300</v>
      </c>
      <c r="D50" s="267" t="s">
        <v>228</v>
      </c>
      <c r="E50" s="267" t="s">
        <v>229</v>
      </c>
      <c r="F50" s="363"/>
      <c r="G50" s="363"/>
      <c r="H50" s="363"/>
      <c r="I50" s="363"/>
      <c r="J50" s="363"/>
      <c r="K50" s="363"/>
      <c r="L50" s="363"/>
      <c r="M50" s="363"/>
      <c r="N50" s="363"/>
      <c r="O50" s="363"/>
    </row>
    <row r="51" spans="1:15">
      <c r="A51" s="363"/>
      <c r="B51" s="267" t="s">
        <v>247</v>
      </c>
      <c r="C51" s="2">
        <v>782</v>
      </c>
      <c r="D51" s="267" t="s">
        <v>228</v>
      </c>
      <c r="E51" s="267" t="s">
        <v>229</v>
      </c>
      <c r="F51" s="363"/>
      <c r="G51" s="363"/>
      <c r="H51" s="363"/>
      <c r="I51" s="363"/>
      <c r="J51" s="363"/>
      <c r="K51" s="363"/>
      <c r="L51" s="363"/>
      <c r="M51" s="363"/>
      <c r="N51" s="363"/>
      <c r="O51" s="363"/>
    </row>
    <row r="52" spans="1:15">
      <c r="A52" s="363"/>
      <c r="B52" s="267" t="s">
        <v>248</v>
      </c>
      <c r="C52" s="2">
        <v>1980</v>
      </c>
      <c r="D52" s="267" t="s">
        <v>228</v>
      </c>
      <c r="E52" s="267" t="s">
        <v>229</v>
      </c>
      <c r="F52" s="363"/>
      <c r="G52" s="363"/>
      <c r="H52" s="363"/>
      <c r="I52" s="363"/>
      <c r="J52" s="363"/>
      <c r="K52" s="363"/>
      <c r="L52" s="363"/>
      <c r="M52" s="363"/>
      <c r="N52" s="363"/>
      <c r="O52" s="363"/>
    </row>
    <row r="53" spans="1:15">
      <c r="A53" s="363"/>
      <c r="B53" s="267" t="s">
        <v>249</v>
      </c>
      <c r="C53" s="2">
        <v>4800</v>
      </c>
      <c r="D53" s="267" t="s">
        <v>228</v>
      </c>
      <c r="E53" s="267" t="s">
        <v>229</v>
      </c>
      <c r="F53" s="363"/>
      <c r="G53" s="363"/>
      <c r="H53" s="363"/>
      <c r="I53" s="363"/>
      <c r="J53" s="363"/>
      <c r="K53" s="363"/>
      <c r="L53" s="363"/>
      <c r="M53" s="363"/>
      <c r="N53" s="363"/>
      <c r="O53" s="363"/>
    </row>
    <row r="54" spans="1:15">
      <c r="A54" s="363"/>
      <c r="B54" s="267" t="s">
        <v>250</v>
      </c>
      <c r="C54" s="2">
        <v>138</v>
      </c>
      <c r="D54" s="267" t="s">
        <v>228</v>
      </c>
      <c r="E54" s="267" t="s">
        <v>229</v>
      </c>
      <c r="F54" s="363"/>
      <c r="G54" s="363"/>
      <c r="H54" s="363"/>
      <c r="I54" s="363"/>
      <c r="J54" s="363"/>
      <c r="K54" s="363"/>
      <c r="L54" s="363"/>
      <c r="M54" s="363"/>
      <c r="N54" s="363"/>
      <c r="O54" s="363"/>
    </row>
    <row r="55" spans="1:15">
      <c r="A55" s="363"/>
      <c r="B55" s="267" t="s">
        <v>251</v>
      </c>
      <c r="C55" s="2">
        <v>148</v>
      </c>
      <c r="D55" s="267" t="s">
        <v>228</v>
      </c>
      <c r="E55" s="267" t="s">
        <v>229</v>
      </c>
      <c r="F55" s="363"/>
      <c r="G55" s="363"/>
      <c r="H55" s="363"/>
      <c r="I55" s="363"/>
      <c r="J55" s="363"/>
      <c r="K55" s="363"/>
      <c r="L55" s="363"/>
      <c r="M55" s="363"/>
      <c r="N55" s="363"/>
      <c r="O55" s="363"/>
    </row>
    <row r="56" spans="1:15">
      <c r="A56" s="363"/>
      <c r="B56" s="267" t="s">
        <v>252</v>
      </c>
      <c r="C56" s="2">
        <v>8900</v>
      </c>
      <c r="D56" s="267" t="s">
        <v>228</v>
      </c>
      <c r="E56" s="267" t="s">
        <v>229</v>
      </c>
      <c r="F56" s="363"/>
      <c r="G56" s="363"/>
      <c r="H56" s="363"/>
      <c r="I56" s="363"/>
      <c r="J56" s="363"/>
      <c r="K56" s="363"/>
      <c r="L56" s="363"/>
      <c r="M56" s="363"/>
      <c r="N56" s="363"/>
      <c r="O56" s="363"/>
    </row>
    <row r="57" spans="1:15">
      <c r="A57" s="363"/>
      <c r="B57" s="267" t="s">
        <v>253</v>
      </c>
      <c r="C57" s="2">
        <v>1760</v>
      </c>
      <c r="D57" s="267" t="s">
        <v>228</v>
      </c>
      <c r="E57" s="267" t="s">
        <v>229</v>
      </c>
      <c r="F57" s="363"/>
      <c r="G57" s="363"/>
      <c r="H57" s="363"/>
      <c r="I57" s="363"/>
      <c r="J57" s="363"/>
      <c r="K57" s="363"/>
      <c r="L57" s="363"/>
      <c r="M57" s="363"/>
      <c r="N57" s="363"/>
      <c r="O57" s="363"/>
    </row>
    <row r="58" spans="1:15">
      <c r="A58" s="363"/>
      <c r="B58" s="267" t="s">
        <v>254</v>
      </c>
      <c r="C58" s="2">
        <v>127</v>
      </c>
      <c r="D58" s="267" t="s">
        <v>228</v>
      </c>
      <c r="E58" s="267" t="s">
        <v>229</v>
      </c>
      <c r="F58" s="363"/>
      <c r="G58" s="363"/>
      <c r="H58" s="363"/>
      <c r="I58" s="363"/>
      <c r="J58" s="363"/>
      <c r="K58" s="363"/>
      <c r="L58" s="363"/>
      <c r="M58" s="363"/>
      <c r="N58" s="363"/>
      <c r="O58" s="363"/>
    </row>
    <row r="59" spans="1:15">
      <c r="A59" s="363"/>
      <c r="B59" s="267" t="s">
        <v>255</v>
      </c>
      <c r="C59" s="2">
        <v>525</v>
      </c>
      <c r="D59" s="267" t="s">
        <v>228</v>
      </c>
      <c r="E59" s="267" t="s">
        <v>229</v>
      </c>
      <c r="F59" s="363"/>
      <c r="G59" s="363"/>
      <c r="H59" s="363"/>
      <c r="I59" s="363"/>
      <c r="J59" s="363"/>
      <c r="K59" s="363"/>
      <c r="L59" s="363"/>
      <c r="M59" s="363"/>
      <c r="N59" s="363"/>
      <c r="O59" s="363"/>
    </row>
    <row r="60" spans="1:15">
      <c r="A60" s="363"/>
      <c r="B60" s="267" t="s">
        <v>256</v>
      </c>
      <c r="C60" s="2">
        <v>2640</v>
      </c>
      <c r="D60" s="267" t="s">
        <v>228</v>
      </c>
      <c r="E60" s="267" t="s">
        <v>229</v>
      </c>
      <c r="F60" s="363"/>
      <c r="G60" s="363"/>
      <c r="H60" s="363"/>
      <c r="I60" s="363"/>
      <c r="J60" s="363"/>
      <c r="K60" s="363"/>
      <c r="L60" s="363"/>
      <c r="M60" s="363"/>
      <c r="N60" s="363"/>
      <c r="O60" s="363"/>
    </row>
    <row r="61" spans="1:15">
      <c r="A61" s="363"/>
      <c r="B61" s="267" t="s">
        <v>257</v>
      </c>
      <c r="C61" s="2">
        <v>9540</v>
      </c>
      <c r="D61" s="267" t="s">
        <v>228</v>
      </c>
      <c r="E61" s="267" t="s">
        <v>229</v>
      </c>
      <c r="F61" s="363"/>
      <c r="G61" s="363"/>
      <c r="H61" s="363"/>
      <c r="I61" s="363"/>
      <c r="J61" s="363"/>
      <c r="K61" s="363"/>
      <c r="L61" s="363"/>
      <c r="M61" s="363"/>
      <c r="N61" s="363"/>
      <c r="O61" s="363"/>
    </row>
    <row r="62" spans="1:15">
      <c r="A62" s="363"/>
      <c r="B62" s="267" t="s">
        <v>258</v>
      </c>
      <c r="C62" s="2">
        <v>1130</v>
      </c>
      <c r="D62" s="267" t="s">
        <v>228</v>
      </c>
      <c r="E62" s="267" t="s">
        <v>229</v>
      </c>
      <c r="F62" s="363"/>
      <c r="G62" s="363"/>
      <c r="H62" s="363"/>
      <c r="I62" s="363"/>
      <c r="J62" s="363"/>
      <c r="K62" s="363"/>
      <c r="L62" s="363"/>
      <c r="M62" s="363"/>
      <c r="N62" s="363"/>
      <c r="O62" s="363"/>
    </row>
    <row r="63" spans="1:15">
      <c r="A63" s="363"/>
      <c r="B63" s="267" t="s">
        <v>259</v>
      </c>
      <c r="C63" s="2">
        <v>3943</v>
      </c>
      <c r="D63" s="267" t="s">
        <v>228</v>
      </c>
      <c r="E63" s="267" t="s">
        <v>229</v>
      </c>
      <c r="F63" s="363"/>
      <c r="G63" s="363"/>
      <c r="H63" s="363"/>
      <c r="I63" s="363"/>
      <c r="J63" s="363"/>
      <c r="K63" s="363"/>
      <c r="L63" s="363"/>
      <c r="M63" s="363"/>
      <c r="N63" s="363"/>
      <c r="O63" s="363"/>
    </row>
    <row r="64" spans="1:15">
      <c r="A64" s="363"/>
      <c r="B64" s="267" t="s">
        <v>260</v>
      </c>
      <c r="C64" s="2">
        <v>1923</v>
      </c>
      <c r="D64" s="267" t="s">
        <v>228</v>
      </c>
      <c r="E64" s="267" t="s">
        <v>229</v>
      </c>
      <c r="F64" s="363"/>
      <c r="G64" s="363"/>
      <c r="H64" s="363"/>
      <c r="I64" s="363"/>
      <c r="J64" s="363"/>
      <c r="K64" s="363"/>
      <c r="L64" s="363"/>
      <c r="M64" s="363"/>
      <c r="N64" s="363"/>
      <c r="O64" s="363"/>
    </row>
    <row r="65" spans="1:15">
      <c r="A65" s="363"/>
      <c r="B65" s="267" t="s">
        <v>261</v>
      </c>
      <c r="C65" s="2">
        <v>1624</v>
      </c>
      <c r="D65" s="267" t="s">
        <v>228</v>
      </c>
      <c r="E65" s="267" t="s">
        <v>229</v>
      </c>
      <c r="F65" s="363"/>
      <c r="G65" s="363"/>
      <c r="H65" s="363"/>
      <c r="I65" s="363"/>
      <c r="J65" s="363"/>
      <c r="K65" s="363"/>
      <c r="L65" s="363"/>
      <c r="M65" s="363"/>
      <c r="N65" s="363"/>
      <c r="O65" s="363"/>
    </row>
    <row r="66" spans="1:15">
      <c r="A66" s="363"/>
      <c r="B66" s="267" t="s">
        <v>262</v>
      </c>
      <c r="C66" s="2">
        <v>1674</v>
      </c>
      <c r="D66" s="267" t="s">
        <v>228</v>
      </c>
      <c r="E66" s="267" t="s">
        <v>229</v>
      </c>
      <c r="F66" s="363"/>
      <c r="G66" s="363"/>
      <c r="H66" s="363"/>
      <c r="I66" s="363"/>
      <c r="J66" s="363"/>
      <c r="K66" s="363"/>
      <c r="L66" s="363"/>
      <c r="M66" s="363"/>
      <c r="N66" s="363"/>
      <c r="O66" s="363"/>
    </row>
    <row r="67" spans="1:15">
      <c r="A67" s="363"/>
      <c r="B67" s="267" t="s">
        <v>258</v>
      </c>
      <c r="C67" s="2">
        <v>1130</v>
      </c>
      <c r="D67" s="267" t="s">
        <v>228</v>
      </c>
      <c r="E67" s="267" t="s">
        <v>229</v>
      </c>
      <c r="F67" s="363"/>
      <c r="G67" s="363"/>
      <c r="H67" s="363"/>
      <c r="I67" s="363"/>
      <c r="J67" s="363"/>
      <c r="K67" s="363"/>
      <c r="L67" s="363"/>
      <c r="M67" s="363"/>
      <c r="N67" s="363"/>
      <c r="O67" s="363"/>
    </row>
    <row r="68" spans="1:15">
      <c r="A68" s="363"/>
      <c r="B68" s="267" t="s">
        <v>263</v>
      </c>
      <c r="C68" s="2">
        <v>3257</v>
      </c>
      <c r="D68" s="267" t="s">
        <v>228</v>
      </c>
      <c r="E68" s="267" t="s">
        <v>229</v>
      </c>
      <c r="F68" s="363"/>
      <c r="G68" s="363"/>
      <c r="H68" s="363"/>
      <c r="I68" s="363"/>
      <c r="J68" s="363"/>
      <c r="K68" s="363"/>
      <c r="L68" s="363"/>
      <c r="M68" s="363"/>
      <c r="N68" s="363"/>
      <c r="O68" s="363"/>
    </row>
    <row r="69" spans="1:15">
      <c r="A69" s="363"/>
      <c r="B69" s="267" t="s">
        <v>264</v>
      </c>
      <c r="C69" s="2">
        <v>1924</v>
      </c>
      <c r="D69" s="267" t="s">
        <v>228</v>
      </c>
      <c r="E69" s="267" t="s">
        <v>229</v>
      </c>
      <c r="F69" s="363"/>
      <c r="G69" s="363"/>
      <c r="H69" s="363"/>
      <c r="I69" s="363"/>
      <c r="J69" s="363"/>
      <c r="K69" s="363"/>
      <c r="L69" s="363"/>
      <c r="M69" s="363"/>
      <c r="N69" s="363"/>
      <c r="O69" s="363"/>
    </row>
    <row r="70" spans="1:15">
      <c r="A70" s="363"/>
      <c r="B70" s="267" t="s">
        <v>265</v>
      </c>
      <c r="C70" s="2">
        <v>2127</v>
      </c>
      <c r="D70" s="267" t="s">
        <v>228</v>
      </c>
      <c r="E70" s="267" t="s">
        <v>229</v>
      </c>
      <c r="F70" s="363"/>
      <c r="G70" s="363"/>
      <c r="H70" s="363"/>
      <c r="I70" s="363"/>
      <c r="J70" s="363"/>
      <c r="K70" s="363"/>
      <c r="L70" s="363"/>
      <c r="M70" s="363"/>
      <c r="N70" s="363"/>
      <c r="O70" s="363"/>
    </row>
    <row r="71" spans="1:15">
      <c r="A71" s="363"/>
      <c r="B71" s="267" t="s">
        <v>266</v>
      </c>
      <c r="C71" s="2">
        <v>2844</v>
      </c>
      <c r="D71" s="267" t="s">
        <v>228</v>
      </c>
      <c r="E71" s="267" t="s">
        <v>229</v>
      </c>
      <c r="F71" s="363"/>
      <c r="G71" s="363"/>
      <c r="H71" s="363"/>
      <c r="I71" s="363"/>
      <c r="J71" s="363"/>
      <c r="K71" s="363"/>
      <c r="L71" s="363"/>
      <c r="M71" s="363"/>
      <c r="N71" s="363"/>
      <c r="O71" s="363"/>
    </row>
    <row r="72" spans="1:15">
      <c r="A72" s="363"/>
      <c r="B72" s="267" t="s">
        <v>267</v>
      </c>
      <c r="C72" s="2">
        <v>2473</v>
      </c>
      <c r="D72" s="267" t="s">
        <v>228</v>
      </c>
      <c r="E72" s="267" t="s">
        <v>229</v>
      </c>
      <c r="F72" s="363"/>
      <c r="G72" s="363"/>
      <c r="H72" s="363"/>
      <c r="I72" s="363"/>
      <c r="J72" s="363"/>
      <c r="K72" s="363"/>
      <c r="L72" s="363"/>
      <c r="M72" s="363"/>
      <c r="N72" s="363"/>
      <c r="O72" s="363"/>
    </row>
    <row r="73" spans="1:15">
      <c r="A73" s="363"/>
      <c r="B73" s="267" t="s">
        <v>268</v>
      </c>
      <c r="C73" s="2">
        <v>2024</v>
      </c>
      <c r="D73" s="267" t="s">
        <v>228</v>
      </c>
      <c r="E73" s="267" t="s">
        <v>229</v>
      </c>
      <c r="F73" s="363"/>
      <c r="G73" s="363"/>
      <c r="H73" s="363"/>
      <c r="I73" s="363"/>
      <c r="J73" s="363"/>
      <c r="K73" s="363"/>
      <c r="L73" s="363"/>
      <c r="M73" s="363"/>
      <c r="N73" s="363"/>
      <c r="O73" s="363"/>
    </row>
    <row r="74" spans="1:15">
      <c r="A74" s="363"/>
      <c r="B74" s="267" t="s">
        <v>269</v>
      </c>
      <c r="C74" s="2">
        <v>1650</v>
      </c>
      <c r="D74" s="267" t="s">
        <v>228</v>
      </c>
      <c r="E74" s="267" t="s">
        <v>229</v>
      </c>
      <c r="F74" s="363"/>
      <c r="G74" s="363"/>
      <c r="H74" s="363"/>
      <c r="I74" s="363"/>
      <c r="J74" s="363"/>
      <c r="K74" s="363"/>
      <c r="L74" s="363"/>
      <c r="M74" s="363"/>
      <c r="N74" s="363"/>
      <c r="O74" s="363"/>
    </row>
    <row r="75" spans="1:15">
      <c r="A75" s="363"/>
      <c r="B75" s="267" t="s">
        <v>270</v>
      </c>
      <c r="C75" s="2">
        <v>4786</v>
      </c>
      <c r="D75" s="267" t="s">
        <v>228</v>
      </c>
      <c r="E75" s="267" t="s">
        <v>229</v>
      </c>
      <c r="F75" s="363"/>
      <c r="G75" s="363"/>
      <c r="H75" s="363"/>
      <c r="I75" s="363"/>
      <c r="J75" s="363"/>
      <c r="K75" s="363"/>
      <c r="L75" s="363"/>
      <c r="M75" s="363"/>
      <c r="N75" s="363"/>
      <c r="O75" s="363"/>
    </row>
    <row r="76" spans="1:15">
      <c r="A76" s="363"/>
      <c r="B76" s="267" t="s">
        <v>271</v>
      </c>
      <c r="C76" s="2">
        <v>3985</v>
      </c>
      <c r="D76" s="267" t="s">
        <v>228</v>
      </c>
      <c r="E76" s="267" t="s">
        <v>229</v>
      </c>
      <c r="F76" s="363"/>
      <c r="G76" s="363"/>
      <c r="H76" s="363"/>
      <c r="I76" s="363"/>
      <c r="J76" s="363"/>
      <c r="K76" s="363"/>
      <c r="L76" s="363"/>
      <c r="M76" s="363"/>
      <c r="N76" s="363"/>
      <c r="O76" s="363"/>
    </row>
    <row r="77" spans="1:15">
      <c r="A77" s="363"/>
      <c r="B77" s="267" t="s">
        <v>272</v>
      </c>
      <c r="C77" s="2">
        <v>2235</v>
      </c>
      <c r="D77" s="267" t="s">
        <v>228</v>
      </c>
      <c r="E77" s="267" t="s">
        <v>229</v>
      </c>
      <c r="F77" s="363"/>
      <c r="G77" s="363"/>
      <c r="H77" s="363"/>
      <c r="I77" s="363"/>
      <c r="J77" s="363"/>
      <c r="K77" s="363"/>
      <c r="L77" s="363"/>
      <c r="M77" s="363"/>
      <c r="N77" s="363"/>
      <c r="O77" s="363"/>
    </row>
    <row r="78" spans="1:15">
      <c r="A78" s="363"/>
      <c r="B78" s="267" t="s">
        <v>273</v>
      </c>
      <c r="C78" s="2">
        <v>7910</v>
      </c>
      <c r="D78" s="267" t="s">
        <v>228</v>
      </c>
      <c r="E78" s="267" t="s">
        <v>229</v>
      </c>
      <c r="F78" s="363"/>
      <c r="G78" s="363"/>
      <c r="H78" s="363"/>
      <c r="I78" s="363"/>
      <c r="J78" s="363"/>
      <c r="K78" s="363"/>
      <c r="L78" s="363"/>
      <c r="M78" s="363"/>
      <c r="N78" s="363"/>
      <c r="O78" s="363"/>
    </row>
    <row r="79" spans="1:15">
      <c r="A79" s="363"/>
      <c r="B79" s="363"/>
      <c r="C79" s="364"/>
      <c r="D79" s="363"/>
      <c r="E79" s="363"/>
      <c r="F79" s="363"/>
      <c r="G79" s="363"/>
      <c r="H79" s="363"/>
      <c r="I79" s="363"/>
      <c r="J79" s="363"/>
      <c r="K79" s="363"/>
      <c r="L79" s="363"/>
      <c r="M79" s="363"/>
      <c r="N79" s="363"/>
      <c r="O79" s="363"/>
    </row>
    <row r="80" spans="1:15">
      <c r="A80" s="363"/>
      <c r="B80" s="363"/>
      <c r="C80" s="364"/>
      <c r="D80" s="363"/>
      <c r="E80" s="363"/>
      <c r="F80" s="363"/>
      <c r="G80" s="363"/>
      <c r="H80" s="363"/>
      <c r="I80" s="363"/>
      <c r="J80" s="363"/>
      <c r="K80" s="363"/>
      <c r="L80" s="363"/>
      <c r="M80" s="363"/>
      <c r="N80" s="363"/>
      <c r="O80" s="363"/>
    </row>
    <row r="81" spans="1:15" ht="28">
      <c r="A81" s="346" t="s">
        <v>3467</v>
      </c>
      <c r="B81" s="266" t="s">
        <v>72</v>
      </c>
      <c r="C81" s="268" t="s">
        <v>275</v>
      </c>
      <c r="D81" s="265" t="s">
        <v>166</v>
      </c>
      <c r="E81" s="265" t="s">
        <v>210</v>
      </c>
      <c r="F81" s="268" t="s">
        <v>276</v>
      </c>
      <c r="G81" s="265" t="s">
        <v>166</v>
      </c>
      <c r="H81" s="265" t="s">
        <v>210</v>
      </c>
      <c r="I81" s="475"/>
      <c r="J81" s="475"/>
      <c r="K81" s="363"/>
      <c r="L81" s="363"/>
      <c r="M81" s="363"/>
      <c r="N81" s="363"/>
      <c r="O81" s="363"/>
    </row>
    <row r="82" spans="1:15">
      <c r="A82" s="363"/>
      <c r="B82" s="267" t="s">
        <v>73</v>
      </c>
      <c r="C82" s="3">
        <v>4500</v>
      </c>
      <c r="D82" s="267" t="s">
        <v>277</v>
      </c>
      <c r="E82" s="267" t="s">
        <v>278</v>
      </c>
      <c r="F82" s="363"/>
      <c r="G82" s="363"/>
      <c r="H82" s="363"/>
      <c r="I82" s="363"/>
      <c r="J82" s="363"/>
      <c r="K82" s="363"/>
      <c r="L82" s="363"/>
      <c r="M82" s="363"/>
      <c r="N82" s="363"/>
      <c r="O82" s="363"/>
    </row>
    <row r="83" spans="1:15">
      <c r="A83" s="363"/>
      <c r="B83" s="267" t="s">
        <v>74</v>
      </c>
      <c r="C83" s="3">
        <v>5500</v>
      </c>
      <c r="D83" s="267" t="s">
        <v>277</v>
      </c>
      <c r="E83" s="267" t="s">
        <v>279</v>
      </c>
      <c r="F83" s="363"/>
      <c r="G83" s="363"/>
      <c r="H83" s="363"/>
      <c r="I83" s="363"/>
      <c r="J83" s="363"/>
      <c r="K83" s="363"/>
      <c r="L83" s="363"/>
      <c r="M83" s="363"/>
      <c r="N83" s="363"/>
      <c r="O83" s="363"/>
    </row>
    <row r="84" spans="1:15">
      <c r="A84" s="363"/>
      <c r="B84" s="267" t="s">
        <v>75</v>
      </c>
      <c r="C84" s="3">
        <v>4200</v>
      </c>
      <c r="D84" s="267" t="s">
        <v>277</v>
      </c>
      <c r="E84" s="267" t="s">
        <v>280</v>
      </c>
      <c r="F84" s="363"/>
      <c r="G84" s="363"/>
      <c r="H84" s="363"/>
      <c r="I84" s="363"/>
      <c r="J84" s="363"/>
      <c r="K84" s="363"/>
      <c r="L84" s="363"/>
      <c r="M84" s="363"/>
      <c r="N84" s="363"/>
      <c r="O84" s="363"/>
    </row>
    <row r="85" spans="1:15">
      <c r="A85" s="363"/>
      <c r="B85" s="267" t="s">
        <v>76</v>
      </c>
      <c r="C85" s="3">
        <v>4000</v>
      </c>
      <c r="D85" s="267" t="s">
        <v>277</v>
      </c>
      <c r="E85" s="267" t="s">
        <v>281</v>
      </c>
      <c r="F85" s="363"/>
      <c r="G85" s="363"/>
      <c r="H85" s="363"/>
      <c r="I85" s="363"/>
      <c r="J85" s="363"/>
      <c r="K85" s="363"/>
      <c r="L85" s="363"/>
      <c r="M85" s="363"/>
      <c r="N85" s="363"/>
      <c r="O85" s="363"/>
    </row>
    <row r="86" spans="1:15">
      <c r="A86" s="363"/>
      <c r="B86" s="267" t="s">
        <v>77</v>
      </c>
      <c r="C86" s="3">
        <v>4000</v>
      </c>
      <c r="D86" s="267" t="s">
        <v>277</v>
      </c>
      <c r="E86" s="267" t="s">
        <v>281</v>
      </c>
      <c r="F86" s="363"/>
      <c r="G86" s="363"/>
      <c r="H86" s="363"/>
      <c r="I86" s="363"/>
      <c r="J86" s="363"/>
      <c r="K86" s="363"/>
      <c r="L86" s="363"/>
      <c r="M86" s="363"/>
      <c r="N86" s="363"/>
      <c r="O86" s="363"/>
    </row>
    <row r="87" spans="1:15">
      <c r="A87" s="363"/>
      <c r="B87" s="267" t="s">
        <v>78</v>
      </c>
      <c r="C87" s="3">
        <v>5500</v>
      </c>
      <c r="D87" s="267" t="s">
        <v>277</v>
      </c>
      <c r="E87" s="267" t="s">
        <v>279</v>
      </c>
      <c r="F87" s="363"/>
      <c r="G87" s="363"/>
      <c r="H87" s="363"/>
      <c r="I87" s="363"/>
      <c r="J87" s="363"/>
      <c r="K87" s="363"/>
      <c r="L87" s="363"/>
      <c r="M87" s="363"/>
      <c r="N87" s="363"/>
      <c r="O87" s="363"/>
    </row>
    <row r="88" spans="1:15">
      <c r="A88" s="363"/>
      <c r="B88" s="267" t="s">
        <v>85</v>
      </c>
      <c r="C88" s="1">
        <v>8.7200000000000003E-3</v>
      </c>
      <c r="D88" s="267" t="s">
        <v>36</v>
      </c>
      <c r="E88" s="267" t="s">
        <v>282</v>
      </c>
      <c r="F88" s="1">
        <v>2.2300000000000002E-3</v>
      </c>
      <c r="G88" s="267" t="s">
        <v>36</v>
      </c>
      <c r="H88" s="267" t="s">
        <v>283</v>
      </c>
      <c r="I88" s="363"/>
      <c r="J88" s="363"/>
      <c r="K88" s="363"/>
      <c r="L88" s="363"/>
      <c r="M88" s="363"/>
      <c r="N88" s="363"/>
      <c r="O88" s="363"/>
    </row>
    <row r="89" spans="1:15">
      <c r="A89" s="363"/>
      <c r="B89" s="267" t="s">
        <v>86</v>
      </c>
      <c r="C89" s="3">
        <v>5.0000000000000001E-3</v>
      </c>
      <c r="D89" s="267" t="s">
        <v>36</v>
      </c>
      <c r="E89" s="267" t="s">
        <v>284</v>
      </c>
      <c r="F89" s="363"/>
      <c r="G89" s="363"/>
      <c r="H89" s="363"/>
      <c r="I89" s="363"/>
      <c r="J89" s="363"/>
      <c r="K89" s="363"/>
      <c r="L89" s="363"/>
      <c r="M89" s="363"/>
      <c r="N89" s="363"/>
      <c r="O89" s="363"/>
    </row>
    <row r="90" spans="1:15">
      <c r="A90" s="363"/>
      <c r="B90" s="267" t="s">
        <v>87</v>
      </c>
      <c r="C90" s="1">
        <v>2.29E-2</v>
      </c>
      <c r="D90" s="267" t="s">
        <v>36</v>
      </c>
      <c r="E90" s="267" t="s">
        <v>285</v>
      </c>
      <c r="F90" s="363"/>
      <c r="G90" s="363"/>
      <c r="H90" s="363"/>
      <c r="I90" s="363"/>
      <c r="J90" s="363"/>
      <c r="K90" s="363"/>
      <c r="L90" s="363"/>
      <c r="M90" s="363"/>
      <c r="N90" s="363"/>
      <c r="O90" s="363"/>
    </row>
    <row r="91" spans="1:15">
      <c r="A91" s="363"/>
      <c r="B91" s="267" t="s">
        <v>88</v>
      </c>
      <c r="C91" s="1">
        <v>2.29E-2</v>
      </c>
      <c r="D91" s="267" t="s">
        <v>36</v>
      </c>
      <c r="E91" s="267" t="s">
        <v>285</v>
      </c>
      <c r="F91" s="1">
        <v>2E-3</v>
      </c>
      <c r="G91" s="267" t="s">
        <v>36</v>
      </c>
      <c r="H91" s="267" t="s">
        <v>286</v>
      </c>
      <c r="I91" s="363"/>
      <c r="J91" s="363"/>
      <c r="K91" s="363"/>
      <c r="L91" s="363"/>
      <c r="M91" s="363"/>
      <c r="N91" s="363"/>
      <c r="O91" s="363"/>
    </row>
    <row r="92" spans="1:15">
      <c r="A92" s="363"/>
      <c r="C92" s="441"/>
      <c r="F92" s="441"/>
      <c r="I92" s="363"/>
      <c r="J92" s="363"/>
      <c r="K92" s="363"/>
      <c r="L92" s="363"/>
      <c r="M92" s="363"/>
      <c r="N92" s="363"/>
      <c r="O92" s="363"/>
    </row>
    <row r="93" spans="1:15">
      <c r="A93" s="363"/>
      <c r="C93" s="441"/>
      <c r="F93" s="441"/>
      <c r="I93" s="363"/>
      <c r="J93" s="363"/>
      <c r="K93" s="363"/>
      <c r="L93" s="363"/>
      <c r="M93" s="363"/>
      <c r="N93" s="363"/>
      <c r="O93" s="363"/>
    </row>
    <row r="94" spans="1:15">
      <c r="A94" s="363"/>
      <c r="B94" s="267" t="s">
        <v>88</v>
      </c>
      <c r="C94" s="1">
        <v>91.9</v>
      </c>
      <c r="D94" s="267" t="s">
        <v>3821</v>
      </c>
      <c r="E94" s="146" t="s">
        <v>3822</v>
      </c>
      <c r="F94" s="441"/>
      <c r="I94" s="363"/>
      <c r="J94" s="363"/>
      <c r="K94" s="363"/>
      <c r="L94" s="363"/>
      <c r="M94" s="363"/>
      <c r="N94" s="363"/>
      <c r="O94" s="363"/>
    </row>
    <row r="95" spans="1:15">
      <c r="A95" s="363"/>
      <c r="B95" s="267" t="s">
        <v>85</v>
      </c>
      <c r="C95" s="1">
        <v>262</v>
      </c>
      <c r="D95" s="267" t="s">
        <v>3821</v>
      </c>
      <c r="E95" s="146" t="s">
        <v>3822</v>
      </c>
      <c r="F95" s="441"/>
      <c r="I95" s="363"/>
      <c r="J95" s="363"/>
      <c r="K95" s="363"/>
      <c r="L95" s="363"/>
      <c r="M95" s="363"/>
      <c r="N95" s="363"/>
      <c r="O95" s="363"/>
    </row>
    <row r="96" spans="1:15">
      <c r="A96" s="363"/>
      <c r="B96" s="267" t="s">
        <v>3820</v>
      </c>
      <c r="C96" s="1">
        <v>5500</v>
      </c>
      <c r="D96" s="267" t="s">
        <v>277</v>
      </c>
      <c r="E96" s="146" t="s">
        <v>3822</v>
      </c>
      <c r="F96" s="441"/>
      <c r="I96" s="363"/>
      <c r="J96" s="363"/>
      <c r="K96" s="363"/>
      <c r="L96" s="363"/>
      <c r="M96" s="363"/>
      <c r="N96" s="363"/>
      <c r="O96" s="363"/>
    </row>
    <row r="97" spans="1:15">
      <c r="A97" s="363"/>
      <c r="C97" s="441"/>
      <c r="F97" s="441"/>
      <c r="I97" s="363"/>
      <c r="J97" s="363"/>
      <c r="K97" s="363"/>
      <c r="L97" s="363"/>
      <c r="M97" s="363"/>
      <c r="N97" s="363"/>
      <c r="O97" s="363"/>
    </row>
    <row r="98" spans="1:15">
      <c r="A98" s="363"/>
      <c r="C98" s="441"/>
      <c r="F98" s="441"/>
      <c r="I98" s="363"/>
      <c r="J98" s="363"/>
      <c r="K98" s="363"/>
      <c r="L98" s="363"/>
      <c r="M98" s="363"/>
      <c r="N98" s="363"/>
      <c r="O98" s="363"/>
    </row>
    <row r="99" spans="1:15">
      <c r="A99" s="363"/>
      <c r="C99" s="441"/>
      <c r="F99" s="441"/>
      <c r="I99" s="363"/>
      <c r="J99" s="363"/>
      <c r="K99" s="363"/>
      <c r="L99" s="363"/>
      <c r="M99" s="363"/>
      <c r="N99" s="363"/>
      <c r="O99" s="363"/>
    </row>
    <row r="100" spans="1:15">
      <c r="A100" s="363"/>
      <c r="C100" s="441"/>
      <c r="F100" s="441"/>
      <c r="I100" s="363"/>
      <c r="J100" s="363"/>
      <c r="K100" s="363"/>
      <c r="L100" s="363"/>
      <c r="M100" s="363"/>
      <c r="N100" s="363"/>
      <c r="O100" s="363"/>
    </row>
    <row r="101" spans="1:15">
      <c r="A101" s="363"/>
      <c r="C101" s="441"/>
      <c r="F101" s="441"/>
      <c r="I101" s="363"/>
      <c r="J101" s="363"/>
      <c r="K101" s="363"/>
      <c r="L101" s="363"/>
      <c r="M101" s="363"/>
      <c r="N101" s="363"/>
      <c r="O101" s="363"/>
    </row>
    <row r="102" spans="1:15">
      <c r="A102" s="363"/>
      <c r="C102" s="441"/>
      <c r="F102" s="441"/>
      <c r="I102" s="363"/>
      <c r="J102" s="363"/>
      <c r="K102" s="363"/>
      <c r="L102" s="363"/>
      <c r="M102" s="363"/>
      <c r="N102" s="363"/>
      <c r="O102" s="363"/>
    </row>
    <row r="103" spans="1:15">
      <c r="A103" s="363"/>
      <c r="C103" s="441"/>
      <c r="F103" s="441"/>
      <c r="I103" s="363"/>
      <c r="J103" s="363"/>
      <c r="K103" s="363"/>
      <c r="L103" s="363"/>
      <c r="M103" s="363"/>
      <c r="N103" s="363"/>
      <c r="O103" s="363"/>
    </row>
    <row r="104" spans="1:15">
      <c r="A104" s="363"/>
      <c r="C104" s="441"/>
      <c r="F104" s="441"/>
      <c r="I104" s="363"/>
      <c r="J104" s="363"/>
      <c r="K104" s="363"/>
      <c r="L104" s="363"/>
      <c r="M104" s="363"/>
      <c r="N104" s="363"/>
      <c r="O104" s="363"/>
    </row>
    <row r="105" spans="1:15">
      <c r="A105" s="363"/>
      <c r="C105" s="441"/>
      <c r="F105" s="441"/>
      <c r="I105" s="363"/>
      <c r="J105" s="363"/>
      <c r="K105" s="363"/>
      <c r="L105" s="363"/>
      <c r="M105" s="363"/>
      <c r="N105" s="363"/>
      <c r="O105" s="363"/>
    </row>
    <row r="106" spans="1:15">
      <c r="A106" s="363"/>
      <c r="C106" s="441"/>
      <c r="F106" s="441"/>
      <c r="I106" s="363"/>
      <c r="J106" s="363"/>
      <c r="K106" s="363"/>
      <c r="L106" s="363"/>
      <c r="M106" s="363"/>
      <c r="N106" s="363"/>
      <c r="O106" s="363"/>
    </row>
    <row r="107" spans="1:15">
      <c r="A107" s="363"/>
      <c r="B107" s="363"/>
      <c r="C107" s="364"/>
      <c r="D107" s="363"/>
      <c r="E107" s="363"/>
      <c r="F107" s="363"/>
      <c r="G107" s="363"/>
      <c r="H107" s="363"/>
      <c r="I107" s="363"/>
      <c r="J107" s="363"/>
      <c r="K107" s="363"/>
      <c r="L107" s="363"/>
      <c r="M107" s="363"/>
      <c r="N107" s="363"/>
      <c r="O107" s="363"/>
    </row>
    <row r="108" spans="1:15">
      <c r="A108" s="346" t="s">
        <v>3468</v>
      </c>
      <c r="B108" s="265" t="s">
        <v>287</v>
      </c>
      <c r="C108" s="266" t="s">
        <v>209</v>
      </c>
      <c r="D108" s="265" t="s">
        <v>166</v>
      </c>
      <c r="E108" s="265" t="s">
        <v>210</v>
      </c>
      <c r="F108" s="363"/>
      <c r="G108" s="363"/>
      <c r="H108" s="363"/>
      <c r="I108" s="363"/>
      <c r="J108" s="363"/>
      <c r="K108" s="363"/>
      <c r="L108" s="363"/>
      <c r="M108" s="363"/>
      <c r="N108" s="363"/>
      <c r="O108" s="363"/>
    </row>
    <row r="109" spans="1:15" ht="14.5">
      <c r="A109" s="363"/>
      <c r="B109" s="267" t="s">
        <v>288</v>
      </c>
      <c r="C109" s="1">
        <v>3.16</v>
      </c>
      <c r="D109" s="267" t="s">
        <v>215</v>
      </c>
      <c r="E109" s="267" t="s">
        <v>289</v>
      </c>
      <c r="F109" s="363"/>
      <c r="G109" s="363"/>
      <c r="H109" s="363"/>
      <c r="I109" s="363"/>
      <c r="J109" s="363"/>
      <c r="K109" s="363"/>
      <c r="L109" s="363"/>
      <c r="M109" s="363"/>
      <c r="N109" s="363"/>
      <c r="O109" s="363"/>
    </row>
    <row r="110" spans="1:15">
      <c r="A110" s="363"/>
      <c r="B110" s="267" t="s">
        <v>290</v>
      </c>
      <c r="C110" s="1">
        <v>3.14</v>
      </c>
      <c r="D110" s="267" t="s">
        <v>215</v>
      </c>
      <c r="E110" s="267" t="s">
        <v>291</v>
      </c>
      <c r="F110" s="363"/>
      <c r="G110" s="363"/>
      <c r="H110" s="363"/>
      <c r="I110" s="363"/>
      <c r="J110" s="363"/>
      <c r="K110" s="363"/>
      <c r="L110" s="363"/>
      <c r="M110" s="363"/>
      <c r="N110" s="363"/>
      <c r="O110" s="363"/>
    </row>
    <row r="111" spans="1:15">
      <c r="A111" s="363"/>
      <c r="B111" s="267" t="s">
        <v>292</v>
      </c>
      <c r="C111" s="1">
        <v>2.87</v>
      </c>
      <c r="D111" s="267" t="s">
        <v>215</v>
      </c>
      <c r="E111" s="267" t="s">
        <v>293</v>
      </c>
      <c r="F111" s="363"/>
      <c r="G111" s="363"/>
      <c r="H111" s="363"/>
      <c r="I111" s="363"/>
      <c r="J111" s="363"/>
      <c r="K111" s="363"/>
      <c r="L111" s="363"/>
      <c r="M111" s="363"/>
      <c r="N111" s="363"/>
      <c r="O111" s="363"/>
    </row>
    <row r="112" spans="1:15">
      <c r="A112" s="363"/>
      <c r="B112" s="267" t="s">
        <v>294</v>
      </c>
      <c r="C112" s="1">
        <v>2.8</v>
      </c>
      <c r="D112" s="267" t="s">
        <v>215</v>
      </c>
      <c r="E112" s="267" t="s">
        <v>295</v>
      </c>
      <c r="F112" s="363"/>
      <c r="G112" s="363"/>
      <c r="H112" s="363"/>
      <c r="I112" s="363"/>
      <c r="J112" s="363"/>
      <c r="K112" s="363"/>
      <c r="L112" s="363"/>
      <c r="M112" s="363"/>
      <c r="N112" s="363"/>
      <c r="O112" s="363"/>
    </row>
    <row r="113" spans="1:15">
      <c r="A113" s="363"/>
      <c r="B113" s="267" t="s">
        <v>296</v>
      </c>
      <c r="C113" s="1">
        <v>1.68</v>
      </c>
      <c r="D113" s="267" t="s">
        <v>215</v>
      </c>
      <c r="E113" s="267" t="s">
        <v>297</v>
      </c>
      <c r="F113" s="363"/>
      <c r="G113" s="363"/>
      <c r="H113" s="363"/>
      <c r="I113" s="363"/>
      <c r="J113" s="363"/>
      <c r="K113" s="363"/>
      <c r="L113" s="363"/>
      <c r="M113" s="363"/>
      <c r="N113" s="363"/>
      <c r="O113" s="363"/>
    </row>
    <row r="114" spans="1:15">
      <c r="A114" s="363"/>
      <c r="B114" s="267" t="s">
        <v>298</v>
      </c>
      <c r="C114" s="1">
        <v>1.86</v>
      </c>
      <c r="D114" s="267" t="s">
        <v>215</v>
      </c>
      <c r="E114" s="267" t="s">
        <v>299</v>
      </c>
      <c r="F114" s="363"/>
      <c r="G114" s="363"/>
      <c r="H114" s="363"/>
      <c r="I114" s="363"/>
      <c r="J114" s="363"/>
      <c r="K114" s="363"/>
      <c r="L114" s="363"/>
      <c r="M114" s="363"/>
      <c r="N114" s="363"/>
      <c r="O114" s="363"/>
    </row>
    <row r="115" spans="1:15">
      <c r="A115" s="363"/>
      <c r="B115" s="267" t="s">
        <v>300</v>
      </c>
      <c r="C115" s="1">
        <v>1.01</v>
      </c>
      <c r="D115" s="267" t="s">
        <v>215</v>
      </c>
      <c r="E115" s="267" t="s">
        <v>301</v>
      </c>
      <c r="F115" s="363"/>
      <c r="G115" s="363"/>
      <c r="H115" s="363"/>
      <c r="I115" s="363"/>
      <c r="J115" s="363"/>
      <c r="K115" s="363"/>
      <c r="L115" s="363"/>
      <c r="M115" s="363"/>
      <c r="N115" s="363"/>
      <c r="O115" s="363"/>
    </row>
    <row r="116" spans="1:15">
      <c r="A116" s="363"/>
      <c r="B116" s="267" t="s">
        <v>302</v>
      </c>
      <c r="C116" s="1">
        <v>0.84799999999999998</v>
      </c>
      <c r="D116" s="267" t="s">
        <v>215</v>
      </c>
      <c r="E116" s="267" t="s">
        <v>303</v>
      </c>
      <c r="F116" s="363"/>
      <c r="G116" s="363"/>
      <c r="H116" s="363"/>
      <c r="I116" s="363"/>
      <c r="J116" s="363"/>
      <c r="K116" s="363"/>
      <c r="L116" s="363"/>
      <c r="M116" s="363"/>
      <c r="N116" s="363"/>
      <c r="O116" s="363"/>
    </row>
    <row r="117" spans="1:15">
      <c r="A117" s="363"/>
      <c r="B117" s="267" t="s">
        <v>49</v>
      </c>
      <c r="C117" s="1">
        <v>5.8400000000000001E-2</v>
      </c>
      <c r="D117" s="267" t="s">
        <v>30</v>
      </c>
      <c r="E117" s="373" t="s">
        <v>3601</v>
      </c>
      <c r="F117" s="363" t="s">
        <v>3600</v>
      </c>
      <c r="G117" s="363"/>
      <c r="H117" s="363"/>
      <c r="I117" s="363"/>
      <c r="J117" s="363"/>
      <c r="K117" s="363"/>
      <c r="L117" s="363"/>
      <c r="M117" s="363"/>
      <c r="N117" s="363"/>
      <c r="O117" s="363"/>
    </row>
    <row r="118" spans="1:15">
      <c r="A118" s="363"/>
      <c r="B118" s="267" t="s">
        <v>304</v>
      </c>
      <c r="C118" s="1">
        <f>C124/$C$126/100</f>
        <v>2.7699999999999999E-2</v>
      </c>
      <c r="D118" s="267" t="s">
        <v>305</v>
      </c>
      <c r="E118" s="365"/>
      <c r="F118" s="363"/>
      <c r="G118" s="363"/>
      <c r="H118" s="363"/>
      <c r="I118" s="363"/>
      <c r="J118" s="363"/>
      <c r="K118" s="363"/>
      <c r="L118" s="363"/>
      <c r="M118" s="363"/>
      <c r="N118" s="363"/>
      <c r="O118" s="363"/>
    </row>
    <row r="119" spans="1:15">
      <c r="A119" s="363"/>
      <c r="B119" s="267" t="s">
        <v>306</v>
      </c>
      <c r="C119" s="1">
        <f>C125/$C$126/100</f>
        <v>4.5000000000000005E-3</v>
      </c>
      <c r="D119" s="267" t="s">
        <v>305</v>
      </c>
      <c r="E119" s="365"/>
      <c r="F119" s="363"/>
      <c r="G119" s="363"/>
      <c r="H119" s="363"/>
      <c r="I119" s="363"/>
      <c r="J119" s="363"/>
      <c r="K119" s="363"/>
      <c r="L119" s="363"/>
      <c r="M119" s="363"/>
      <c r="N119" s="363"/>
      <c r="O119" s="363"/>
    </row>
    <row r="120" spans="1:15">
      <c r="A120" s="363"/>
      <c r="B120" s="365"/>
      <c r="C120" s="366"/>
      <c r="D120" s="365"/>
      <c r="E120" s="365"/>
      <c r="F120" s="363"/>
      <c r="G120" s="363"/>
      <c r="H120" s="363"/>
      <c r="I120" s="363"/>
      <c r="J120" s="363"/>
      <c r="K120" s="363"/>
      <c r="L120" s="363"/>
      <c r="M120" s="363"/>
      <c r="N120" s="363"/>
      <c r="O120" s="363"/>
    </row>
    <row r="121" spans="1:15">
      <c r="A121" s="363"/>
      <c r="B121" s="365"/>
      <c r="C121" s="366"/>
      <c r="D121" s="365"/>
      <c r="E121" s="365"/>
      <c r="F121" s="363"/>
      <c r="G121" s="363"/>
      <c r="H121" s="363"/>
      <c r="I121" s="363"/>
      <c r="J121" s="363"/>
      <c r="K121" s="363"/>
      <c r="L121" s="363"/>
      <c r="M121" s="363"/>
      <c r="N121" s="363"/>
      <c r="O121" s="363"/>
    </row>
    <row r="122" spans="1:15">
      <c r="A122" s="363"/>
      <c r="B122" s="365"/>
      <c r="C122" s="366"/>
      <c r="D122" s="365"/>
      <c r="E122" s="365"/>
      <c r="F122" s="363"/>
      <c r="G122" s="363"/>
      <c r="H122" s="363"/>
      <c r="I122" s="363"/>
      <c r="J122" s="363"/>
      <c r="K122" s="363"/>
      <c r="L122" s="363"/>
      <c r="M122" s="363"/>
      <c r="N122" s="363"/>
      <c r="O122" s="363"/>
    </row>
    <row r="123" spans="1:15">
      <c r="A123" s="363"/>
      <c r="B123" s="363"/>
      <c r="C123" s="364"/>
      <c r="D123" s="363"/>
      <c r="E123" s="363"/>
      <c r="F123" s="363"/>
      <c r="G123" s="363"/>
      <c r="H123" s="363"/>
      <c r="I123" s="363"/>
      <c r="J123" s="363"/>
      <c r="K123" s="363"/>
      <c r="L123" s="363"/>
      <c r="M123" s="363"/>
      <c r="N123" s="363"/>
      <c r="O123" s="363"/>
    </row>
    <row r="124" spans="1:15">
      <c r="A124" s="363"/>
      <c r="B124" s="267" t="s">
        <v>307</v>
      </c>
      <c r="C124" s="1">
        <v>2.77</v>
      </c>
      <c r="D124" s="267" t="s">
        <v>36</v>
      </c>
      <c r="E124" s="267" t="s">
        <v>308</v>
      </c>
      <c r="F124" s="363"/>
      <c r="G124" s="363"/>
      <c r="H124" s="363"/>
      <c r="I124" s="363"/>
      <c r="J124" s="363"/>
      <c r="K124" s="363"/>
      <c r="L124" s="363"/>
      <c r="M124" s="363"/>
      <c r="N124" s="363"/>
      <c r="O124" s="363"/>
    </row>
    <row r="125" spans="1:15">
      <c r="A125" s="363"/>
      <c r="B125" s="267" t="s">
        <v>309</v>
      </c>
      <c r="C125" s="1">
        <v>0.45</v>
      </c>
      <c r="D125" s="267" t="s">
        <v>36</v>
      </c>
      <c r="E125" s="267" t="s">
        <v>308</v>
      </c>
      <c r="F125" s="363"/>
      <c r="G125" s="363"/>
      <c r="H125" s="363"/>
      <c r="I125" s="363"/>
      <c r="J125" s="363"/>
      <c r="K125" s="363"/>
      <c r="L125" s="363"/>
      <c r="M125" s="363"/>
      <c r="N125" s="363"/>
      <c r="O125" s="363"/>
    </row>
    <row r="126" spans="1:15" ht="116">
      <c r="A126" s="363"/>
      <c r="B126" s="267" t="s">
        <v>310</v>
      </c>
      <c r="C126" s="1">
        <v>1</v>
      </c>
      <c r="D126" s="267" t="s">
        <v>311</v>
      </c>
      <c r="E126" s="269" t="s">
        <v>312</v>
      </c>
      <c r="F126" s="363"/>
      <c r="G126" s="363"/>
      <c r="H126" s="363"/>
      <c r="I126" s="363"/>
      <c r="J126" s="363"/>
      <c r="K126" s="363"/>
      <c r="L126" s="363"/>
      <c r="M126" s="363"/>
      <c r="N126" s="363"/>
      <c r="O126" s="363"/>
    </row>
    <row r="127" spans="1:15">
      <c r="A127" s="363"/>
      <c r="B127" s="363"/>
      <c r="C127" s="364"/>
      <c r="D127" s="363"/>
      <c r="E127" s="363"/>
      <c r="F127" s="363"/>
      <c r="G127" s="363"/>
      <c r="H127" s="363"/>
      <c r="I127" s="363"/>
      <c r="J127" s="363"/>
      <c r="K127" s="363"/>
      <c r="L127" s="363"/>
      <c r="M127" s="363"/>
      <c r="N127" s="363"/>
      <c r="O127" s="363"/>
    </row>
    <row r="128" spans="1:15">
      <c r="A128" s="363"/>
      <c r="B128" s="363"/>
      <c r="C128" s="364"/>
      <c r="D128" s="363"/>
      <c r="E128" s="363"/>
      <c r="F128" s="363"/>
      <c r="G128" s="363"/>
      <c r="H128" s="363"/>
      <c r="I128" s="363"/>
      <c r="J128" s="363"/>
      <c r="K128" s="363"/>
      <c r="L128" s="363"/>
      <c r="M128" s="363"/>
      <c r="N128" s="363"/>
      <c r="O128" s="363"/>
    </row>
    <row r="129" spans="1:15" ht="28">
      <c r="A129" s="346" t="s">
        <v>3469</v>
      </c>
      <c r="B129" s="265" t="s">
        <v>313</v>
      </c>
      <c r="C129" s="390" t="s">
        <v>275</v>
      </c>
      <c r="D129" s="391" t="s">
        <v>166</v>
      </c>
      <c r="E129" s="390" t="s">
        <v>276</v>
      </c>
      <c r="F129" s="391" t="s">
        <v>166</v>
      </c>
      <c r="G129" s="392" t="s">
        <v>3646</v>
      </c>
      <c r="H129" s="391" t="s">
        <v>210</v>
      </c>
      <c r="I129" s="475" t="s">
        <v>3908</v>
      </c>
      <c r="J129" s="475"/>
      <c r="K129" s="363"/>
      <c r="L129" s="363"/>
      <c r="M129" s="363"/>
      <c r="N129" s="363"/>
      <c r="O129" s="363"/>
    </row>
    <row r="130" spans="1:15" ht="14.5">
      <c r="A130" s="363"/>
      <c r="B130" s="64" t="s">
        <v>3955</v>
      </c>
      <c r="C130" s="514">
        <v>2.29E-2</v>
      </c>
      <c r="D130" s="365" t="s">
        <v>36</v>
      </c>
      <c r="E130" s="514">
        <v>2E-3</v>
      </c>
      <c r="F130" s="365" t="s">
        <v>36</v>
      </c>
      <c r="G130" s="513">
        <f t="shared" ref="G130:G142" si="0">SUM(C130:E130)</f>
        <v>2.4899999999999999E-2</v>
      </c>
      <c r="H130" s="512" t="s">
        <v>3648</v>
      </c>
      <c r="I130" s="64" t="s">
        <v>3909</v>
      </c>
      <c r="J130" s="436"/>
      <c r="K130" s="363"/>
      <c r="L130" s="363"/>
      <c r="M130" s="363"/>
      <c r="N130" s="363"/>
      <c r="O130" s="363"/>
    </row>
    <row r="131" spans="1:15" ht="14.5">
      <c r="A131" s="363"/>
      <c r="B131" s="64" t="s">
        <v>3649</v>
      </c>
      <c r="C131" s="516">
        <v>1.5900000000000001E-2</v>
      </c>
      <c r="D131" s="365" t="s">
        <v>36</v>
      </c>
      <c r="E131" s="514">
        <f>0.0109+0.0495</f>
        <v>6.0400000000000002E-2</v>
      </c>
      <c r="F131" s="365" t="s">
        <v>36</v>
      </c>
      <c r="G131" s="513">
        <f t="shared" si="0"/>
        <v>7.6300000000000007E-2</v>
      </c>
      <c r="H131" s="365" t="s">
        <v>316</v>
      </c>
      <c r="I131" s="64" t="s">
        <v>3649</v>
      </c>
      <c r="J131" s="436"/>
      <c r="K131" s="363"/>
      <c r="L131" s="363"/>
      <c r="M131" s="363"/>
      <c r="N131" s="363"/>
      <c r="O131" s="363"/>
    </row>
    <row r="132" spans="1:15" ht="14.5">
      <c r="A132" s="363"/>
      <c r="B132" s="64" t="s">
        <v>3650</v>
      </c>
      <c r="C132" s="512">
        <v>2.5999999999999998E-4</v>
      </c>
      <c r="D132" s="365" t="s">
        <v>315</v>
      </c>
      <c r="E132" s="514">
        <f>0.152-C132</f>
        <v>0.15173999999999999</v>
      </c>
      <c r="F132" s="365" t="s">
        <v>315</v>
      </c>
      <c r="G132" s="513">
        <f t="shared" si="0"/>
        <v>0.152</v>
      </c>
      <c r="H132" s="365" t="s">
        <v>318</v>
      </c>
      <c r="I132" s="64" t="s">
        <v>95</v>
      </c>
      <c r="J132" s="436"/>
      <c r="K132" s="363"/>
      <c r="L132" s="363"/>
      <c r="M132" s="363"/>
      <c r="N132" s="363"/>
      <c r="O132" s="363"/>
    </row>
    <row r="133" spans="1:15" ht="14.5">
      <c r="A133" s="363"/>
      <c r="B133" s="64" t="s">
        <v>3651</v>
      </c>
      <c r="C133" s="512">
        <v>3.8000000000000002E-4</v>
      </c>
      <c r="D133" s="365" t="s">
        <v>315</v>
      </c>
      <c r="E133" s="514">
        <f>0.258-C133</f>
        <v>0.25762000000000002</v>
      </c>
      <c r="F133" s="365" t="s">
        <v>315</v>
      </c>
      <c r="G133" s="513">
        <f t="shared" si="0"/>
        <v>0.25800000000000001</v>
      </c>
      <c r="H133" s="365" t="s">
        <v>317</v>
      </c>
      <c r="I133" s="64" t="s">
        <v>95</v>
      </c>
      <c r="J133" s="436"/>
      <c r="K133" s="363"/>
      <c r="L133" s="363"/>
      <c r="M133" s="363"/>
      <c r="N133" s="363"/>
      <c r="O133" s="363"/>
    </row>
    <row r="134" spans="1:15" ht="14.5">
      <c r="A134" s="363"/>
      <c r="B134" s="541" t="s">
        <v>3652</v>
      </c>
      <c r="C134" s="541">
        <v>2.2499999999999999E-2</v>
      </c>
      <c r="D134" s="536" t="s">
        <v>315</v>
      </c>
      <c r="E134" s="541">
        <f>0.129</f>
        <v>0.129</v>
      </c>
      <c r="F134" s="536" t="s">
        <v>315</v>
      </c>
      <c r="G134" s="535">
        <f>SUM(C134:E134)</f>
        <v>0.1515</v>
      </c>
      <c r="H134" s="543" t="s">
        <v>3655</v>
      </c>
      <c r="I134" s="64" t="s">
        <v>77</v>
      </c>
      <c r="J134" s="436"/>
      <c r="K134" s="363"/>
      <c r="L134" s="363"/>
      <c r="M134" s="363"/>
      <c r="N134" s="363"/>
      <c r="O134" s="363"/>
    </row>
    <row r="135" spans="1:15" ht="14.5">
      <c r="A135" s="363"/>
      <c r="B135" s="541" t="s">
        <v>3654</v>
      </c>
      <c r="C135" s="542">
        <v>8.8999999999999999E-3</v>
      </c>
      <c r="D135" s="536" t="s">
        <v>315</v>
      </c>
      <c r="E135" s="542">
        <f>0.113-C135</f>
        <v>0.1041</v>
      </c>
      <c r="F135" s="536" t="s">
        <v>315</v>
      </c>
      <c r="G135" s="535">
        <f t="shared" si="0"/>
        <v>0.113</v>
      </c>
      <c r="H135" s="543" t="s">
        <v>3653</v>
      </c>
      <c r="I135" s="64" t="s">
        <v>77</v>
      </c>
      <c r="J135" s="436"/>
      <c r="K135" s="363"/>
      <c r="L135" s="363"/>
      <c r="M135" s="363"/>
      <c r="N135" s="363"/>
      <c r="O135" s="363"/>
    </row>
    <row r="136" spans="1:15" ht="14.5">
      <c r="A136" s="363"/>
      <c r="B136" s="541" t="s">
        <v>3656</v>
      </c>
      <c r="C136" s="542">
        <v>4.1000000000000002E-2</v>
      </c>
      <c r="D136" s="536" t="s">
        <v>36</v>
      </c>
      <c r="E136" s="541">
        <f>0.154+0.0361</f>
        <v>0.19009999999999999</v>
      </c>
      <c r="F136" s="536" t="s">
        <v>36</v>
      </c>
      <c r="G136" s="535">
        <f>SUM(C136:E136)</f>
        <v>0.2311</v>
      </c>
      <c r="H136" s="534" t="s">
        <v>3657</v>
      </c>
      <c r="I136" s="64" t="s">
        <v>3910</v>
      </c>
      <c r="J136" s="436"/>
      <c r="K136" s="363"/>
      <c r="L136" s="363"/>
      <c r="M136" s="363"/>
      <c r="N136" s="363"/>
      <c r="O136" s="363"/>
    </row>
    <row r="137" spans="1:15" ht="14.5">
      <c r="A137" s="363"/>
      <c r="B137" s="541" t="s">
        <v>3658</v>
      </c>
      <c r="C137" s="542">
        <v>4.1000000000000002E-2</v>
      </c>
      <c r="D137" s="536" t="s">
        <v>36</v>
      </c>
      <c r="E137" s="541">
        <f>0.154+0.0361</f>
        <v>0.19009999999999999</v>
      </c>
      <c r="F137" s="536" t="s">
        <v>36</v>
      </c>
      <c r="G137" s="535">
        <f>SUM(C137:E137)</f>
        <v>0.2311</v>
      </c>
      <c r="H137" s="534" t="s">
        <v>3657</v>
      </c>
      <c r="I137" s="64" t="s">
        <v>3910</v>
      </c>
      <c r="J137" s="436"/>
      <c r="K137" s="363"/>
      <c r="L137" s="363"/>
      <c r="M137" s="363"/>
      <c r="N137" s="363"/>
      <c r="O137" s="363"/>
    </row>
    <row r="138" spans="1:15" ht="14.5">
      <c r="A138" s="363"/>
      <c r="B138" s="541" t="s">
        <v>3659</v>
      </c>
      <c r="C138" s="542">
        <v>4.1000000000000002E-2</v>
      </c>
      <c r="D138" s="536" t="s">
        <v>36</v>
      </c>
      <c r="E138" s="541">
        <f>0.154+0.0361</f>
        <v>0.19009999999999999</v>
      </c>
      <c r="F138" s="536" t="s">
        <v>36</v>
      </c>
      <c r="G138" s="535">
        <f>SUM(C138:E138)</f>
        <v>0.2311</v>
      </c>
      <c r="H138" s="534" t="s">
        <v>3657</v>
      </c>
      <c r="I138" s="64" t="s">
        <v>3910</v>
      </c>
      <c r="J138" s="436"/>
      <c r="K138" s="363"/>
      <c r="L138" s="363"/>
      <c r="M138" s="363"/>
      <c r="N138" s="363"/>
      <c r="O138" s="363"/>
    </row>
    <row r="139" spans="1:15" ht="14.5">
      <c r="A139" s="363"/>
      <c r="B139" s="541" t="s">
        <v>3660</v>
      </c>
      <c r="C139" s="542">
        <v>4.1000000000000002E-2</v>
      </c>
      <c r="D139" s="536" t="s">
        <v>36</v>
      </c>
      <c r="E139" s="541">
        <f>0.154+0.0361</f>
        <v>0.19009999999999999</v>
      </c>
      <c r="F139" s="536" t="s">
        <v>36</v>
      </c>
      <c r="G139" s="535">
        <f>SUM(C139:E139)</f>
        <v>0.2311</v>
      </c>
      <c r="H139" s="534" t="s">
        <v>3657</v>
      </c>
      <c r="I139" s="64" t="s">
        <v>3910</v>
      </c>
      <c r="J139" s="436"/>
      <c r="K139" s="363"/>
      <c r="L139" s="363"/>
      <c r="M139" s="363"/>
      <c r="N139" s="363"/>
      <c r="O139" s="363"/>
    </row>
    <row r="140" spans="1:15" ht="14.5">
      <c r="A140" s="363"/>
      <c r="B140" s="64" t="s">
        <v>3661</v>
      </c>
      <c r="C140" s="512">
        <v>3.1E-4</v>
      </c>
      <c r="D140" s="365" t="s">
        <v>315</v>
      </c>
      <c r="E140" s="514">
        <v>2.98E-3</v>
      </c>
      <c r="F140" s="365" t="s">
        <v>315</v>
      </c>
      <c r="G140" s="513">
        <f t="shared" si="0"/>
        <v>3.29E-3</v>
      </c>
      <c r="H140" s="365" t="s">
        <v>3662</v>
      </c>
      <c r="I140" s="64" t="s">
        <v>3661</v>
      </c>
      <c r="J140" s="436"/>
      <c r="K140" s="363"/>
      <c r="L140" s="363"/>
      <c r="M140" s="363"/>
      <c r="N140" s="363"/>
      <c r="O140" s="363"/>
    </row>
    <row r="141" spans="1:15" ht="14.5">
      <c r="A141" s="363"/>
      <c r="B141" s="64" t="s">
        <v>3663</v>
      </c>
      <c r="C141" s="512">
        <v>0</v>
      </c>
      <c r="D141" s="365" t="s">
        <v>315</v>
      </c>
      <c r="E141" s="512">
        <v>0</v>
      </c>
      <c r="F141" s="365" t="s">
        <v>315</v>
      </c>
      <c r="G141" s="513">
        <f t="shared" si="0"/>
        <v>0</v>
      </c>
      <c r="H141" s="512"/>
      <c r="I141" s="505" t="s">
        <v>3663</v>
      </c>
      <c r="J141" s="436"/>
      <c r="K141" s="363"/>
      <c r="L141" s="363"/>
      <c r="M141" s="363"/>
      <c r="N141" s="363"/>
      <c r="O141" s="363"/>
    </row>
    <row r="142" spans="1:15" ht="14.5">
      <c r="A142" s="363"/>
      <c r="B142" s="64" t="s">
        <v>3975</v>
      </c>
      <c r="C142" s="512">
        <v>1.32E-2</v>
      </c>
      <c r="D142" s="512" t="s">
        <v>315</v>
      </c>
      <c r="E142" s="512">
        <v>5.0999999999999997E-2</v>
      </c>
      <c r="F142" s="365" t="s">
        <v>315</v>
      </c>
      <c r="G142" s="513">
        <f t="shared" si="0"/>
        <v>6.4199999999999993E-2</v>
      </c>
      <c r="H142" s="512" t="s">
        <v>3976</v>
      </c>
      <c r="I142" s="267"/>
      <c r="J142" s="436"/>
      <c r="K142" s="363"/>
      <c r="L142" s="363"/>
      <c r="M142" s="363"/>
      <c r="N142" s="363"/>
      <c r="O142" s="363"/>
    </row>
    <row r="143" spans="1:15" ht="14.5">
      <c r="A143" s="363"/>
      <c r="B143" s="64" t="s">
        <v>91</v>
      </c>
      <c r="C143" s="512">
        <v>4.79E-3</v>
      </c>
      <c r="D143" s="365" t="s">
        <v>315</v>
      </c>
      <c r="E143" s="514">
        <v>2.29E-2</v>
      </c>
      <c r="F143" s="365" t="s">
        <v>315</v>
      </c>
      <c r="G143" s="513">
        <f t="shared" ref="G143:G144" si="1">SUM(C143:E143)</f>
        <v>2.7689999999999999E-2</v>
      </c>
      <c r="H143" s="365" t="s">
        <v>3664</v>
      </c>
      <c r="I143" s="64" t="s">
        <v>3911</v>
      </c>
      <c r="J143" s="436"/>
      <c r="K143" s="363"/>
      <c r="L143" s="363"/>
      <c r="M143" s="363"/>
      <c r="N143" s="363"/>
      <c r="O143" s="363"/>
    </row>
    <row r="144" spans="1:15" ht="14.5">
      <c r="A144" s="363"/>
      <c r="B144" s="541" t="s">
        <v>3949</v>
      </c>
      <c r="C144" s="541">
        <v>1.6999999999999999E-3</v>
      </c>
      <c r="D144" s="536" t="s">
        <v>315</v>
      </c>
      <c r="E144" s="541">
        <v>5.7999999999999996E-3</v>
      </c>
      <c r="F144" s="536" t="s">
        <v>315</v>
      </c>
      <c r="G144" s="537">
        <f t="shared" si="1"/>
        <v>7.4999999999999997E-3</v>
      </c>
      <c r="H144" s="538" t="s">
        <v>3952</v>
      </c>
      <c r="I144" s="64" t="s">
        <v>3911</v>
      </c>
      <c r="J144" s="436"/>
      <c r="K144" s="363"/>
      <c r="L144" s="363"/>
      <c r="M144" s="363"/>
      <c r="N144" s="363"/>
      <c r="O144" s="363"/>
    </row>
    <row r="145" spans="1:15" ht="14.5">
      <c r="A145" s="363"/>
      <c r="B145" s="541" t="s">
        <v>3665</v>
      </c>
      <c r="C145" s="534">
        <v>8.3599999999999994E-2</v>
      </c>
      <c r="D145" s="536" t="s">
        <v>36</v>
      </c>
      <c r="E145" s="541">
        <f>0.0198</f>
        <v>1.9800000000000002E-2</v>
      </c>
      <c r="F145" s="536" t="s">
        <v>36</v>
      </c>
      <c r="G145" s="535">
        <f>SUM(C145:E145)</f>
        <v>0.10339999999999999</v>
      </c>
      <c r="H145" s="536" t="s">
        <v>3666</v>
      </c>
      <c r="I145" s="64" t="s">
        <v>73</v>
      </c>
      <c r="J145" s="436"/>
      <c r="K145" s="363"/>
      <c r="L145" s="363"/>
      <c r="M145" s="363"/>
      <c r="N145" s="363"/>
      <c r="O145" s="363"/>
    </row>
    <row r="146" spans="1:15" ht="14.5">
      <c r="A146" s="363"/>
      <c r="B146" s="64" t="s">
        <v>3667</v>
      </c>
      <c r="C146" s="539">
        <v>0.106</v>
      </c>
      <c r="D146" s="267" t="s">
        <v>36</v>
      </c>
      <c r="E146" s="539">
        <f>0.0481+0.0287</f>
        <v>7.6799999999999993E-2</v>
      </c>
      <c r="F146" s="267" t="s">
        <v>36</v>
      </c>
      <c r="G146" s="540">
        <f>SUM(C146:E146)</f>
        <v>0.18279999999999999</v>
      </c>
      <c r="H146" s="267" t="s">
        <v>3668</v>
      </c>
      <c r="I146" s="64" t="s">
        <v>73</v>
      </c>
      <c r="J146" s="436"/>
      <c r="K146" s="363"/>
      <c r="L146" s="363"/>
      <c r="M146" s="363"/>
      <c r="N146" s="363"/>
      <c r="O146" s="363"/>
    </row>
    <row r="147" spans="1:15" ht="14.5">
      <c r="A147" s="363"/>
      <c r="B147" s="64" t="s">
        <v>3669</v>
      </c>
      <c r="C147" s="539">
        <v>4.1000000000000002E-2</v>
      </c>
      <c r="D147" s="267" t="s">
        <v>36</v>
      </c>
      <c r="E147" s="64">
        <f>0.154+0.0361</f>
        <v>0.19009999999999999</v>
      </c>
      <c r="F147" s="267" t="s">
        <v>36</v>
      </c>
      <c r="G147" s="540">
        <f>SUM(C147:E147)</f>
        <v>0.2311</v>
      </c>
      <c r="H147" s="267" t="s">
        <v>3953</v>
      </c>
      <c r="I147" s="64" t="s">
        <v>73</v>
      </c>
      <c r="J147" s="436"/>
      <c r="K147" s="363"/>
      <c r="L147" s="363"/>
      <c r="M147" s="363"/>
      <c r="N147" s="363"/>
      <c r="O147" s="363"/>
    </row>
    <row r="148" spans="1:15" ht="14.5">
      <c r="A148" s="363"/>
      <c r="B148" s="64" t="s">
        <v>3670</v>
      </c>
      <c r="C148" s="64">
        <v>4.1000000000000002E-2</v>
      </c>
      <c r="D148" s="267" t="s">
        <v>36</v>
      </c>
      <c r="E148" s="64">
        <f>0.162+0.0358</f>
        <v>0.1978</v>
      </c>
      <c r="F148" s="267" t="s">
        <v>36</v>
      </c>
      <c r="G148" s="540">
        <f>SUM(C148:E148)</f>
        <v>0.23880000000000001</v>
      </c>
      <c r="H148" s="267" t="s">
        <v>3954</v>
      </c>
      <c r="I148" s="64" t="s">
        <v>73</v>
      </c>
      <c r="J148" s="436"/>
      <c r="K148" s="363"/>
      <c r="L148" s="363"/>
      <c r="M148" s="363"/>
      <c r="N148" s="363"/>
      <c r="O148" s="363"/>
    </row>
    <row r="149" spans="1:15">
      <c r="A149" s="363"/>
      <c r="C149" s="364"/>
      <c r="D149" s="363"/>
      <c r="E149" s="363"/>
      <c r="F149" s="363"/>
      <c r="G149" s="363"/>
      <c r="H149" s="363"/>
      <c r="I149" s="363"/>
      <c r="J149" s="363"/>
      <c r="K149" s="363"/>
      <c r="L149" s="363"/>
      <c r="M149" s="363"/>
      <c r="N149" s="363"/>
      <c r="O149" s="363"/>
    </row>
    <row r="150" spans="1:15">
      <c r="A150" s="363"/>
      <c r="B150" s="267" t="s">
        <v>320</v>
      </c>
      <c r="C150" s="515">
        <v>15000</v>
      </c>
      <c r="D150" s="365" t="s">
        <v>321</v>
      </c>
      <c r="E150" s="365" t="s">
        <v>229</v>
      </c>
      <c r="F150" s="363"/>
      <c r="G150" s="363"/>
      <c r="H150" s="363"/>
      <c r="I150" s="363"/>
      <c r="J150" s="363"/>
      <c r="K150" s="363"/>
      <c r="L150" s="363"/>
      <c r="M150" s="363"/>
      <c r="N150" s="363"/>
      <c r="O150" s="363"/>
    </row>
    <row r="151" spans="1:15">
      <c r="A151" s="363"/>
      <c r="B151" s="267" t="s">
        <v>322</v>
      </c>
      <c r="C151" s="515">
        <v>1000</v>
      </c>
      <c r="D151" s="365" t="s">
        <v>323</v>
      </c>
      <c r="E151" s="365"/>
      <c r="F151" s="363"/>
      <c r="G151" s="363"/>
      <c r="H151" s="363"/>
      <c r="I151" s="363"/>
      <c r="J151" s="363"/>
      <c r="K151" s="363"/>
      <c r="L151" s="363"/>
      <c r="M151" s="363"/>
      <c r="N151" s="363"/>
      <c r="O151" s="363"/>
    </row>
    <row r="152" spans="1:15">
      <c r="A152" s="363"/>
      <c r="B152" s="267" t="s">
        <v>324</v>
      </c>
      <c r="C152" s="515">
        <v>5000</v>
      </c>
      <c r="D152" s="365" t="s">
        <v>321</v>
      </c>
      <c r="E152" s="365"/>
      <c r="F152" s="363"/>
      <c r="G152" s="363"/>
      <c r="H152" s="363"/>
      <c r="I152" s="363"/>
      <c r="J152" s="363"/>
      <c r="K152" s="363"/>
      <c r="L152" s="363"/>
      <c r="M152" s="363"/>
      <c r="N152" s="363"/>
      <c r="O152" s="363"/>
    </row>
    <row r="153" spans="1:15">
      <c r="A153" s="363"/>
      <c r="B153" s="267" t="s">
        <v>325</v>
      </c>
      <c r="C153" s="515">
        <v>100</v>
      </c>
      <c r="D153" s="365" t="s">
        <v>323</v>
      </c>
      <c r="E153" s="365"/>
      <c r="F153" s="363"/>
      <c r="G153" s="363"/>
      <c r="H153" s="363"/>
      <c r="I153" s="363"/>
      <c r="J153" s="363"/>
      <c r="K153" s="363"/>
      <c r="L153" s="363"/>
      <c r="M153" s="363"/>
      <c r="N153" s="363"/>
      <c r="O153" s="363"/>
    </row>
    <row r="154" spans="1:15">
      <c r="A154" s="363"/>
      <c r="B154" s="267" t="s">
        <v>326</v>
      </c>
      <c r="C154" s="515">
        <v>40000</v>
      </c>
      <c r="D154" s="365" t="s">
        <v>321</v>
      </c>
      <c r="E154" s="365" t="s">
        <v>229</v>
      </c>
      <c r="F154" s="363"/>
      <c r="G154" s="363"/>
      <c r="H154" s="363"/>
      <c r="I154" s="363"/>
      <c r="J154" s="363"/>
      <c r="K154" s="363"/>
      <c r="L154" s="363"/>
      <c r="M154" s="363"/>
      <c r="N154" s="363"/>
      <c r="O154" s="363"/>
    </row>
    <row r="155" spans="1:15">
      <c r="A155" s="363"/>
      <c r="B155" s="267" t="s">
        <v>327</v>
      </c>
      <c r="C155" s="515">
        <v>10000</v>
      </c>
      <c r="D155" s="365" t="s">
        <v>323</v>
      </c>
      <c r="E155" s="365"/>
      <c r="F155" s="363"/>
      <c r="G155" s="363"/>
      <c r="H155" s="363"/>
      <c r="I155" s="363"/>
      <c r="J155" s="363"/>
      <c r="K155" s="363"/>
      <c r="L155" s="363"/>
      <c r="M155" s="363"/>
      <c r="N155" s="363"/>
      <c r="O155" s="363"/>
    </row>
    <row r="156" spans="1:15">
      <c r="A156" s="363"/>
      <c r="B156" s="363"/>
      <c r="C156" s="368"/>
      <c r="D156" s="363"/>
      <c r="E156" s="363"/>
      <c r="F156" s="363"/>
      <c r="G156" s="363"/>
      <c r="H156" s="363"/>
      <c r="I156" s="363"/>
      <c r="J156" s="363"/>
      <c r="K156" s="363"/>
      <c r="L156" s="363"/>
      <c r="M156" s="363"/>
      <c r="N156" s="363"/>
      <c r="O156" s="363"/>
    </row>
    <row r="157" spans="1:15" ht="28">
      <c r="A157" s="346" t="s">
        <v>3827</v>
      </c>
      <c r="B157" s="265" t="s">
        <v>313</v>
      </c>
      <c r="C157" s="390" t="s">
        <v>275</v>
      </c>
      <c r="D157" s="391" t="s">
        <v>166</v>
      </c>
      <c r="E157" s="390" t="s">
        <v>276</v>
      </c>
      <c r="F157" s="391" t="s">
        <v>166</v>
      </c>
      <c r="G157" s="392" t="s">
        <v>3646</v>
      </c>
      <c r="H157" s="391" t="s">
        <v>210</v>
      </c>
      <c r="I157" s="475"/>
      <c r="J157" s="475"/>
      <c r="K157" s="363"/>
      <c r="L157" s="363"/>
      <c r="M157" s="363"/>
      <c r="N157" s="363"/>
      <c r="O157" s="363"/>
    </row>
    <row r="158" spans="1:15" ht="14.5">
      <c r="A158" s="363"/>
      <c r="B158" s="64" t="s">
        <v>3647</v>
      </c>
      <c r="C158" s="514">
        <v>2.29E-2</v>
      </c>
      <c r="D158" s="365" t="s">
        <v>36</v>
      </c>
      <c r="E158" s="514">
        <v>2E-3</v>
      </c>
      <c r="F158" s="365" t="s">
        <v>36</v>
      </c>
      <c r="G158" s="513">
        <f>SUM(C158:E158)</f>
        <v>2.4899999999999999E-2</v>
      </c>
      <c r="H158" s="512" t="s">
        <v>3648</v>
      </c>
      <c r="I158" s="436"/>
      <c r="J158" s="436"/>
      <c r="K158" s="363"/>
      <c r="L158" s="363"/>
      <c r="M158" s="363"/>
      <c r="N158" s="363"/>
      <c r="O158" s="363"/>
    </row>
    <row r="159" spans="1:15" ht="14.5">
      <c r="A159" s="363"/>
      <c r="B159" s="64" t="s">
        <v>3649</v>
      </c>
      <c r="C159" s="516">
        <v>1.5900000000000001E-2</v>
      </c>
      <c r="D159" s="365" t="s">
        <v>36</v>
      </c>
      <c r="E159" s="514">
        <f>0.0109+0.0495</f>
        <v>6.0400000000000002E-2</v>
      </c>
      <c r="F159" s="365" t="s">
        <v>36</v>
      </c>
      <c r="G159" s="513">
        <f t="shared" ref="G159" si="2">SUM(C159:E159)</f>
        <v>7.6300000000000007E-2</v>
      </c>
      <c r="H159" s="365" t="s">
        <v>316</v>
      </c>
      <c r="I159" s="363"/>
      <c r="J159" s="363"/>
      <c r="K159" s="363"/>
      <c r="L159" s="363"/>
      <c r="M159" s="363"/>
      <c r="N159" s="363"/>
      <c r="O159" s="363"/>
    </row>
    <row r="160" spans="1:15" ht="14.5">
      <c r="A160" s="363"/>
      <c r="B160" s="64" t="s">
        <v>3656</v>
      </c>
      <c r="C160" s="512">
        <f>(0.0247/1.6)*2</f>
        <v>3.0875E-2</v>
      </c>
      <c r="D160" s="365" t="s">
        <v>315</v>
      </c>
      <c r="E160" s="512">
        <f>(0.119/1.6)*2</f>
        <v>0.14874999999999999</v>
      </c>
      <c r="F160" s="365" t="s">
        <v>315</v>
      </c>
      <c r="G160" s="513">
        <f t="shared" ref="G160:G167" si="3">SUM(C160:E160)</f>
        <v>0.17962499999999998</v>
      </c>
      <c r="H160" s="512" t="s">
        <v>3657</v>
      </c>
      <c r="I160" s="436"/>
      <c r="J160" s="436"/>
      <c r="K160" s="363"/>
      <c r="L160" s="363"/>
      <c r="M160" s="363"/>
      <c r="N160" s="363"/>
      <c r="O160" s="363"/>
    </row>
    <row r="161" spans="1:15" ht="14.5">
      <c r="A161" s="363"/>
      <c r="B161" s="64" t="s">
        <v>3658</v>
      </c>
      <c r="C161" s="512">
        <f>(0.0247/1.6)*3</f>
        <v>4.63125E-2</v>
      </c>
      <c r="D161" s="365" t="s">
        <v>315</v>
      </c>
      <c r="E161" s="512">
        <f>(0.119/1.6)*3</f>
        <v>0.22312499999999999</v>
      </c>
      <c r="F161" s="365" t="s">
        <v>315</v>
      </c>
      <c r="G161" s="513">
        <f t="shared" si="3"/>
        <v>0.2694375</v>
      </c>
      <c r="H161" s="512" t="s">
        <v>3657</v>
      </c>
      <c r="I161" s="436"/>
      <c r="J161" s="436"/>
      <c r="K161" s="363"/>
      <c r="L161" s="363"/>
      <c r="M161" s="363"/>
      <c r="N161" s="363"/>
      <c r="O161" s="363"/>
    </row>
    <row r="162" spans="1:15" ht="14.5">
      <c r="A162" s="363"/>
      <c r="B162" s="64" t="s">
        <v>3659</v>
      </c>
      <c r="C162" s="512">
        <f>(0.0247/1.6)*4</f>
        <v>6.1749999999999999E-2</v>
      </c>
      <c r="D162" s="365" t="s">
        <v>315</v>
      </c>
      <c r="E162" s="512">
        <f>(0.119/1.6)*4</f>
        <v>0.29749999999999999</v>
      </c>
      <c r="F162" s="365" t="s">
        <v>315</v>
      </c>
      <c r="G162" s="513">
        <f t="shared" si="3"/>
        <v>0.35924999999999996</v>
      </c>
      <c r="H162" s="512" t="s">
        <v>3657</v>
      </c>
      <c r="I162" s="436"/>
      <c r="J162" s="436"/>
      <c r="K162" s="363"/>
      <c r="L162" s="363"/>
      <c r="M162" s="363"/>
      <c r="N162" s="363"/>
      <c r="O162" s="363"/>
    </row>
    <row r="163" spans="1:15" ht="14.5">
      <c r="A163" s="363"/>
      <c r="B163" s="64" t="s">
        <v>3660</v>
      </c>
      <c r="C163" s="512">
        <f>(0.0247/1.6)*5</f>
        <v>7.7187499999999992E-2</v>
      </c>
      <c r="D163" s="365" t="s">
        <v>315</v>
      </c>
      <c r="E163" s="512">
        <f>(0.119/1.6)*5</f>
        <v>0.37187499999999996</v>
      </c>
      <c r="F163" s="365" t="s">
        <v>315</v>
      </c>
      <c r="G163" s="513">
        <f t="shared" si="3"/>
        <v>0.44906249999999992</v>
      </c>
      <c r="H163" s="512" t="s">
        <v>3657</v>
      </c>
      <c r="I163" s="436"/>
      <c r="J163" s="436"/>
      <c r="K163" s="363"/>
      <c r="L163" s="363"/>
      <c r="M163" s="363"/>
      <c r="N163" s="363"/>
      <c r="O163" s="363"/>
    </row>
    <row r="164" spans="1:15" ht="14.5">
      <c r="A164" s="363"/>
      <c r="B164" s="64" t="s">
        <v>3665</v>
      </c>
      <c r="C164" s="514">
        <v>0</v>
      </c>
      <c r="D164" s="365" t="s">
        <v>36</v>
      </c>
      <c r="E164" s="514">
        <f>0.0836+0.0198</f>
        <v>0.10339999999999999</v>
      </c>
      <c r="F164" s="365" t="s">
        <v>36</v>
      </c>
      <c r="G164" s="513">
        <f t="shared" si="3"/>
        <v>0.10339999999999999</v>
      </c>
      <c r="H164" s="365" t="s">
        <v>3666</v>
      </c>
      <c r="I164" s="363"/>
      <c r="J164" s="363"/>
      <c r="K164" s="363"/>
      <c r="L164" s="363"/>
      <c r="M164" s="363"/>
      <c r="N164" s="363"/>
      <c r="O164" s="363"/>
    </row>
    <row r="165" spans="1:15" ht="14.5">
      <c r="A165" s="363"/>
      <c r="B165" s="64" t="s">
        <v>3667</v>
      </c>
      <c r="C165" s="514">
        <v>0.106</v>
      </c>
      <c r="D165" s="365" t="s">
        <v>36</v>
      </c>
      <c r="E165" s="514">
        <f>0.0481+0.0287</f>
        <v>7.6799999999999993E-2</v>
      </c>
      <c r="F165" s="365" t="s">
        <v>36</v>
      </c>
      <c r="G165" s="513">
        <f t="shared" si="3"/>
        <v>0.18279999999999999</v>
      </c>
      <c r="H165" s="365" t="s">
        <v>3668</v>
      </c>
      <c r="I165" s="363"/>
      <c r="J165" s="363"/>
      <c r="K165" s="363"/>
      <c r="L165" s="363"/>
      <c r="M165" s="363"/>
      <c r="N165" s="363"/>
      <c r="O165" s="363"/>
    </row>
    <row r="166" spans="1:15" ht="14.5">
      <c r="A166" s="363"/>
      <c r="B166" s="64" t="s">
        <v>3669</v>
      </c>
      <c r="C166" s="514">
        <v>4.1000000000000002E-2</v>
      </c>
      <c r="D166" s="365" t="s">
        <v>36</v>
      </c>
      <c r="E166" s="512">
        <f>0.154+0.0361</f>
        <v>0.19009999999999999</v>
      </c>
      <c r="F166" s="365" t="s">
        <v>36</v>
      </c>
      <c r="G166" s="513">
        <f>SUM(C166:E166)</f>
        <v>0.2311</v>
      </c>
      <c r="H166" s="365" t="s">
        <v>314</v>
      </c>
      <c r="I166" s="363"/>
      <c r="J166" s="363"/>
      <c r="K166" s="363"/>
      <c r="L166" s="363"/>
      <c r="M166" s="363"/>
      <c r="N166" s="363"/>
      <c r="O166" s="363"/>
    </row>
    <row r="167" spans="1:15" ht="14.5">
      <c r="A167" s="363"/>
      <c r="B167" s="64" t="s">
        <v>3670</v>
      </c>
      <c r="C167" s="514">
        <v>4.1000000000000002E-2</v>
      </c>
      <c r="D167" s="365" t="s">
        <v>36</v>
      </c>
      <c r="E167" s="514">
        <f>0.15+0.0365</f>
        <v>0.1865</v>
      </c>
      <c r="F167" s="365" t="s">
        <v>36</v>
      </c>
      <c r="G167" s="513">
        <f t="shared" si="3"/>
        <v>0.22750000000000001</v>
      </c>
      <c r="H167" s="365" t="s">
        <v>319</v>
      </c>
      <c r="I167" s="363"/>
      <c r="J167" s="363"/>
      <c r="K167" s="363"/>
      <c r="L167" s="363"/>
      <c r="M167" s="363"/>
      <c r="N167" s="363"/>
      <c r="O167" s="363"/>
    </row>
    <row r="168" spans="1:15">
      <c r="A168" s="363"/>
      <c r="B168" s="363"/>
      <c r="C168" s="368"/>
      <c r="D168" s="363"/>
      <c r="E168" s="363"/>
      <c r="F168" s="363"/>
      <c r="G168" s="363"/>
      <c r="H168" s="363"/>
      <c r="I168" s="363"/>
      <c r="J168" s="363"/>
      <c r="K168" s="363"/>
      <c r="L168" s="363"/>
      <c r="M168" s="363"/>
      <c r="N168" s="363"/>
      <c r="O168" s="363"/>
    </row>
    <row r="169" spans="1:15">
      <c r="A169" s="363"/>
      <c r="B169" s="363"/>
      <c r="C169" s="368"/>
      <c r="D169" s="363"/>
      <c r="E169" s="363"/>
      <c r="F169" s="363"/>
      <c r="G169" s="363"/>
      <c r="H169" s="363"/>
      <c r="I169" s="363"/>
      <c r="J169" s="363"/>
      <c r="K169" s="363"/>
      <c r="L169" s="363"/>
      <c r="M169" s="363"/>
      <c r="N169" s="363"/>
      <c r="O169" s="363"/>
    </row>
    <row r="170" spans="1:15">
      <c r="A170" s="363"/>
      <c r="B170" s="363"/>
      <c r="C170" s="364"/>
      <c r="D170" s="363"/>
      <c r="E170" s="363"/>
      <c r="F170" s="363"/>
      <c r="G170" s="363"/>
      <c r="H170" s="363"/>
      <c r="I170" s="363"/>
      <c r="J170" s="363"/>
      <c r="K170" s="363"/>
      <c r="L170" s="363"/>
      <c r="M170" s="363"/>
      <c r="N170" s="363"/>
      <c r="O170" s="363"/>
    </row>
    <row r="171" spans="1:15">
      <c r="A171" s="346" t="s">
        <v>3471</v>
      </c>
      <c r="B171" s="265" t="s">
        <v>328</v>
      </c>
      <c r="C171" s="265" t="s">
        <v>209</v>
      </c>
      <c r="D171" s="265" t="s">
        <v>166</v>
      </c>
      <c r="E171" s="265" t="s">
        <v>210</v>
      </c>
      <c r="F171" s="363"/>
      <c r="G171" s="363"/>
      <c r="H171" s="363"/>
      <c r="I171" s="363"/>
      <c r="J171" s="363"/>
      <c r="K171" s="363"/>
      <c r="L171" s="363"/>
      <c r="M171" s="363"/>
      <c r="N171" s="363"/>
      <c r="O171" s="363"/>
    </row>
    <row r="172" spans="1:15">
      <c r="A172" s="363"/>
      <c r="B172" s="424" t="s">
        <v>3750</v>
      </c>
      <c r="C172" s="427">
        <f>AVERAGE(30.6,29,24.4)</f>
        <v>28</v>
      </c>
      <c r="D172" s="424" t="s">
        <v>37</v>
      </c>
      <c r="E172" s="424" t="s">
        <v>3757</v>
      </c>
      <c r="F172" s="363"/>
      <c r="G172" s="363"/>
      <c r="H172" s="363"/>
      <c r="I172" s="363"/>
      <c r="J172" s="363"/>
      <c r="K172" s="363"/>
      <c r="L172" s="363"/>
      <c r="M172" s="363"/>
      <c r="N172" s="363"/>
      <c r="O172" s="363"/>
    </row>
    <row r="173" spans="1:15">
      <c r="A173" s="363"/>
      <c r="B173" s="424" t="s">
        <v>3744</v>
      </c>
      <c r="C173" s="425">
        <v>162</v>
      </c>
      <c r="D173" s="424" t="s">
        <v>37</v>
      </c>
      <c r="E173" s="426" t="s">
        <v>3745</v>
      </c>
      <c r="F173" s="363"/>
      <c r="G173" s="363"/>
      <c r="H173" s="363"/>
      <c r="I173" s="363"/>
      <c r="J173" s="363"/>
      <c r="K173" s="363"/>
      <c r="L173" s="363"/>
      <c r="M173" s="363"/>
      <c r="N173" s="363"/>
      <c r="O173" s="363"/>
    </row>
    <row r="174" spans="1:15">
      <c r="A174" s="363"/>
      <c r="B174" s="424" t="s">
        <v>3753</v>
      </c>
      <c r="C174" s="425">
        <v>1320</v>
      </c>
      <c r="D174" s="424" t="s">
        <v>37</v>
      </c>
      <c r="E174" s="424" t="s">
        <v>3754</v>
      </c>
      <c r="F174" s="363"/>
      <c r="G174" s="363"/>
      <c r="H174" s="363"/>
      <c r="I174" s="363"/>
      <c r="J174" s="363"/>
      <c r="K174" s="363"/>
      <c r="L174" s="363"/>
      <c r="M174" s="363"/>
      <c r="N174" s="363"/>
      <c r="O174" s="363"/>
    </row>
    <row r="175" spans="1:15">
      <c r="A175" s="363"/>
      <c r="B175" s="424" t="s">
        <v>3752</v>
      </c>
      <c r="C175" s="425">
        <f>(21.5+23.8)/2</f>
        <v>22.65</v>
      </c>
      <c r="D175" s="424" t="s">
        <v>37</v>
      </c>
      <c r="E175" s="424" t="s">
        <v>331</v>
      </c>
      <c r="F175" s="363"/>
      <c r="G175" s="363"/>
      <c r="H175" s="363"/>
      <c r="I175" s="363"/>
      <c r="J175" s="363"/>
      <c r="K175" s="363"/>
      <c r="L175" s="363"/>
      <c r="M175" s="363"/>
      <c r="N175" s="363"/>
      <c r="O175" s="363"/>
    </row>
    <row r="176" spans="1:15">
      <c r="A176" s="363"/>
      <c r="B176" s="424" t="s">
        <v>3407</v>
      </c>
      <c r="C176" s="425">
        <v>88.2</v>
      </c>
      <c r="D176" s="424" t="s">
        <v>37</v>
      </c>
      <c r="E176" s="424" t="s">
        <v>3748</v>
      </c>
      <c r="F176" s="363"/>
      <c r="G176" s="363"/>
      <c r="H176" s="363"/>
      <c r="I176" s="363"/>
      <c r="J176" s="363"/>
      <c r="K176" s="363"/>
      <c r="L176" s="363"/>
      <c r="M176" s="363"/>
      <c r="N176" s="363"/>
      <c r="O176" s="363"/>
    </row>
    <row r="177" spans="1:15">
      <c r="A177" s="363"/>
      <c r="B177" s="424" t="s">
        <v>3749</v>
      </c>
      <c r="C177" s="425">
        <v>197</v>
      </c>
      <c r="D177" s="424" t="s">
        <v>37</v>
      </c>
      <c r="E177" s="424" t="s">
        <v>229</v>
      </c>
      <c r="F177" s="363"/>
      <c r="G177" s="363"/>
      <c r="H177" s="363"/>
      <c r="I177" s="363"/>
      <c r="J177" s="363"/>
      <c r="K177" s="363"/>
      <c r="L177" s="363"/>
      <c r="M177" s="363"/>
      <c r="N177" s="363"/>
      <c r="O177" s="363"/>
    </row>
    <row r="178" spans="1:15">
      <c r="A178" s="363"/>
      <c r="B178" s="424" t="s">
        <v>101</v>
      </c>
      <c r="C178" s="425">
        <v>156</v>
      </c>
      <c r="D178" s="424" t="s">
        <v>37</v>
      </c>
      <c r="E178" s="424" t="s">
        <v>329</v>
      </c>
      <c r="F178" s="363"/>
      <c r="G178" s="363"/>
      <c r="H178" s="363"/>
      <c r="I178" s="363"/>
      <c r="J178" s="363"/>
      <c r="K178" s="363"/>
      <c r="L178" s="363"/>
      <c r="M178" s="363"/>
      <c r="N178" s="363"/>
      <c r="O178" s="363"/>
    </row>
    <row r="179" spans="1:15">
      <c r="A179" s="363"/>
      <c r="B179" s="424" t="s">
        <v>3751</v>
      </c>
      <c r="C179" s="425">
        <v>2935</v>
      </c>
      <c r="D179" s="424" t="s">
        <v>37</v>
      </c>
      <c r="E179" s="424" t="s">
        <v>335</v>
      </c>
      <c r="F179" s="363"/>
      <c r="G179" s="363"/>
      <c r="H179" s="363"/>
      <c r="I179" s="363"/>
      <c r="J179" s="363"/>
      <c r="K179" s="363"/>
      <c r="L179" s="363"/>
      <c r="M179" s="363"/>
      <c r="N179" s="363"/>
      <c r="O179" s="363"/>
    </row>
    <row r="180" spans="1:15">
      <c r="A180" s="363"/>
      <c r="B180" s="424" t="s">
        <v>105</v>
      </c>
      <c r="C180" s="425">
        <v>600</v>
      </c>
      <c r="D180" s="424" t="s">
        <v>37</v>
      </c>
      <c r="E180" s="424" t="s">
        <v>229</v>
      </c>
      <c r="F180" s="363"/>
      <c r="G180" s="363"/>
      <c r="H180" s="363"/>
      <c r="I180" s="363"/>
      <c r="J180" s="363"/>
      <c r="K180" s="363"/>
      <c r="L180" s="363"/>
      <c r="M180" s="363"/>
      <c r="N180" s="363"/>
      <c r="O180" s="363"/>
    </row>
    <row r="181" spans="1:15">
      <c r="A181" s="363"/>
      <c r="B181" s="424" t="s">
        <v>3747</v>
      </c>
      <c r="C181" s="425">
        <v>32.799999999999997</v>
      </c>
      <c r="D181" s="424" t="s">
        <v>37</v>
      </c>
      <c r="E181" s="424" t="s">
        <v>333</v>
      </c>
      <c r="F181" s="363"/>
      <c r="G181" s="363"/>
      <c r="H181" s="363"/>
      <c r="I181" s="363"/>
      <c r="J181" s="363"/>
      <c r="K181" s="363"/>
      <c r="L181" s="363"/>
      <c r="M181" s="363"/>
      <c r="N181" s="363"/>
      <c r="O181" s="363"/>
    </row>
    <row r="182" spans="1:15">
      <c r="A182" s="363"/>
      <c r="B182" s="424" t="s">
        <v>102</v>
      </c>
      <c r="C182" s="425">
        <v>82.2</v>
      </c>
      <c r="D182" s="424" t="s">
        <v>37</v>
      </c>
      <c r="E182" s="424" t="s">
        <v>336</v>
      </c>
      <c r="F182" s="363"/>
      <c r="G182" s="363"/>
      <c r="H182" s="363"/>
      <c r="I182" s="363"/>
      <c r="J182" s="363"/>
      <c r="K182" s="363"/>
      <c r="L182" s="363"/>
      <c r="M182" s="363"/>
      <c r="N182" s="363"/>
      <c r="O182" s="363"/>
    </row>
    <row r="183" spans="1:15">
      <c r="A183" s="363"/>
      <c r="B183" s="424" t="s">
        <v>104</v>
      </c>
      <c r="C183" s="425">
        <v>17</v>
      </c>
      <c r="D183" s="424" t="s">
        <v>37</v>
      </c>
      <c r="E183" s="424" t="s">
        <v>334</v>
      </c>
      <c r="F183" s="363"/>
      <c r="G183" s="363"/>
      <c r="H183" s="363"/>
      <c r="I183" s="363"/>
      <c r="J183" s="363"/>
      <c r="K183" s="363"/>
      <c r="L183" s="363"/>
      <c r="M183" s="363"/>
      <c r="N183" s="363"/>
      <c r="O183" s="363"/>
    </row>
    <row r="184" spans="1:15">
      <c r="A184" s="363"/>
      <c r="B184" s="424" t="s">
        <v>103</v>
      </c>
      <c r="C184" s="425">
        <v>16.5</v>
      </c>
      <c r="D184" s="424" t="s">
        <v>37</v>
      </c>
      <c r="E184" s="424" t="s">
        <v>332</v>
      </c>
      <c r="F184" s="363"/>
      <c r="G184" s="363"/>
      <c r="H184" s="363"/>
      <c r="I184" s="363"/>
      <c r="J184" s="363"/>
      <c r="K184" s="363"/>
      <c r="L184" s="363"/>
      <c r="M184" s="363"/>
      <c r="N184" s="363"/>
      <c r="O184" s="363"/>
    </row>
    <row r="185" spans="1:15">
      <c r="A185" s="363"/>
      <c r="B185" s="424" t="s">
        <v>3755</v>
      </c>
      <c r="C185" s="425">
        <v>500</v>
      </c>
      <c r="D185" s="424" t="s">
        <v>37</v>
      </c>
      <c r="E185" s="424" t="s">
        <v>3756</v>
      </c>
      <c r="F185" s="363"/>
      <c r="G185" s="363"/>
      <c r="H185" s="363"/>
      <c r="I185" s="363"/>
      <c r="J185" s="363"/>
      <c r="K185" s="363"/>
      <c r="L185" s="363"/>
      <c r="M185" s="363"/>
      <c r="N185" s="363"/>
      <c r="O185" s="363"/>
    </row>
    <row r="186" spans="1:15">
      <c r="A186" s="363"/>
      <c r="B186" s="424" t="s">
        <v>3746</v>
      </c>
      <c r="C186" s="425">
        <v>169</v>
      </c>
      <c r="D186" s="424" t="s">
        <v>37</v>
      </c>
      <c r="E186" s="424" t="s">
        <v>330</v>
      </c>
      <c r="F186" s="363"/>
      <c r="G186" s="363"/>
      <c r="H186" s="363"/>
      <c r="I186" s="363"/>
      <c r="J186" s="363"/>
      <c r="K186" s="363"/>
      <c r="L186" s="363"/>
      <c r="M186" s="363"/>
      <c r="N186" s="363"/>
      <c r="O186" s="363"/>
    </row>
    <row r="187" spans="1:15">
      <c r="A187" s="363"/>
      <c r="B187" s="424" t="s">
        <v>106</v>
      </c>
      <c r="C187" s="425">
        <v>145</v>
      </c>
      <c r="D187" s="424" t="s">
        <v>37</v>
      </c>
      <c r="E187" s="424" t="s">
        <v>229</v>
      </c>
      <c r="F187" s="363"/>
      <c r="G187" s="363"/>
      <c r="H187" s="363"/>
      <c r="I187" s="363"/>
      <c r="J187" s="363"/>
      <c r="K187" s="363"/>
      <c r="L187" s="363"/>
      <c r="M187" s="363"/>
      <c r="N187" s="363"/>
      <c r="O187" s="363"/>
    </row>
    <row r="188" spans="1:15">
      <c r="A188" s="363"/>
      <c r="B188" s="424"/>
      <c r="C188" s="425"/>
      <c r="D188" s="424"/>
      <c r="E188" s="424"/>
      <c r="F188" s="363"/>
      <c r="G188" s="363"/>
      <c r="H188" s="363"/>
      <c r="I188" s="363"/>
      <c r="J188" s="363"/>
      <c r="K188" s="363"/>
      <c r="L188" s="363"/>
      <c r="M188" s="363"/>
      <c r="N188" s="363"/>
      <c r="O188" s="363"/>
    </row>
    <row r="189" spans="1:15">
      <c r="A189" s="363"/>
      <c r="B189" s="424" t="s">
        <v>3759</v>
      </c>
      <c r="C189" s="425">
        <v>917</v>
      </c>
      <c r="D189" s="267" t="s">
        <v>274</v>
      </c>
      <c r="E189" s="424" t="s">
        <v>229</v>
      </c>
      <c r="F189" s="363" t="s">
        <v>3760</v>
      </c>
      <c r="G189" s="363">
        <v>5</v>
      </c>
      <c r="H189" s="363" t="s">
        <v>3761</v>
      </c>
      <c r="I189" s="363"/>
      <c r="J189" s="363"/>
      <c r="K189" s="363"/>
      <c r="L189" s="363"/>
      <c r="M189" s="363"/>
      <c r="N189" s="363"/>
      <c r="O189" s="363"/>
    </row>
    <row r="190" spans="1:15">
      <c r="A190" s="363"/>
      <c r="B190" s="267"/>
      <c r="C190" s="3"/>
      <c r="D190" s="267"/>
      <c r="E190" s="267"/>
      <c r="F190" s="363"/>
      <c r="G190" s="363"/>
      <c r="H190" s="363"/>
      <c r="I190" s="363"/>
      <c r="J190" s="363"/>
      <c r="K190" s="363"/>
      <c r="L190" s="363"/>
      <c r="M190" s="363"/>
      <c r="N190" s="363"/>
      <c r="O190" s="363"/>
    </row>
    <row r="191" spans="1:15">
      <c r="A191" s="363"/>
      <c r="B191" s="363"/>
      <c r="C191" s="364"/>
      <c r="D191" s="363"/>
      <c r="E191" s="363"/>
      <c r="F191" s="363"/>
      <c r="G191" s="363"/>
      <c r="H191" s="363"/>
      <c r="I191" s="363"/>
      <c r="J191" s="363"/>
      <c r="K191" s="363"/>
      <c r="L191" s="363"/>
      <c r="M191" s="363"/>
      <c r="N191" s="363"/>
      <c r="O191" s="363"/>
    </row>
    <row r="192" spans="1:15" ht="42">
      <c r="A192" s="346" t="s">
        <v>3470</v>
      </c>
      <c r="B192" s="270" t="s">
        <v>109</v>
      </c>
      <c r="C192" s="265" t="s">
        <v>209</v>
      </c>
      <c r="D192" s="265" t="s">
        <v>166</v>
      </c>
      <c r="E192" s="265" t="s">
        <v>210</v>
      </c>
      <c r="F192" s="271" t="s">
        <v>337</v>
      </c>
      <c r="G192" s="363"/>
      <c r="H192" s="363"/>
      <c r="I192" s="363"/>
      <c r="J192" s="363"/>
      <c r="K192" s="363"/>
      <c r="L192" s="363"/>
      <c r="M192" s="363"/>
      <c r="N192" s="363"/>
      <c r="O192" s="363"/>
    </row>
    <row r="193" spans="1:15">
      <c r="A193" s="363"/>
      <c r="B193" s="267" t="s">
        <v>338</v>
      </c>
      <c r="C193" s="2">
        <v>374</v>
      </c>
      <c r="D193" s="267" t="s">
        <v>213</v>
      </c>
      <c r="E193" s="267" t="s">
        <v>229</v>
      </c>
      <c r="F193" s="272">
        <f>$C$293</f>
        <v>0.33</v>
      </c>
      <c r="G193" s="363"/>
      <c r="H193" s="363"/>
      <c r="I193" s="363"/>
      <c r="J193" s="363"/>
      <c r="K193" s="363"/>
      <c r="L193" s="363"/>
      <c r="M193" s="363"/>
      <c r="N193" s="363"/>
      <c r="O193" s="363"/>
    </row>
    <row r="194" spans="1:15">
      <c r="A194" s="363"/>
      <c r="B194" s="267" t="s">
        <v>339</v>
      </c>
      <c r="C194" s="2">
        <v>412</v>
      </c>
      <c r="D194" s="267" t="s">
        <v>213</v>
      </c>
      <c r="E194" s="267" t="s">
        <v>229</v>
      </c>
      <c r="F194" s="272">
        <f>$C$293</f>
        <v>0.33</v>
      </c>
      <c r="G194" s="363"/>
      <c r="H194" s="363"/>
      <c r="I194" s="363"/>
      <c r="J194" s="363"/>
      <c r="K194" s="363"/>
      <c r="L194" s="363"/>
      <c r="M194" s="363"/>
      <c r="N194" s="363"/>
      <c r="O194" s="363"/>
    </row>
    <row r="195" spans="1:15">
      <c r="A195" s="363"/>
      <c r="B195" s="267" t="s">
        <v>340</v>
      </c>
      <c r="C195" s="2">
        <v>386</v>
      </c>
      <c r="D195" s="267" t="s">
        <v>213</v>
      </c>
      <c r="E195" s="267" t="s">
        <v>229</v>
      </c>
      <c r="F195" s="272">
        <f>$C$293</f>
        <v>0.33</v>
      </c>
      <c r="G195" s="363"/>
      <c r="H195" s="363"/>
      <c r="I195" s="363"/>
      <c r="J195" s="363"/>
      <c r="K195" s="363"/>
      <c r="L195" s="363"/>
      <c r="M195" s="363"/>
      <c r="N195" s="363"/>
      <c r="O195" s="363"/>
    </row>
    <row r="196" spans="1:15">
      <c r="A196" s="363"/>
      <c r="B196" s="267" t="s">
        <v>341</v>
      </c>
      <c r="C196" s="2">
        <v>1995</v>
      </c>
      <c r="D196" s="267" t="s">
        <v>213</v>
      </c>
      <c r="E196" s="267" t="s">
        <v>229</v>
      </c>
      <c r="F196" s="272">
        <f>$C$298</f>
        <v>0.13</v>
      </c>
      <c r="G196" s="363"/>
      <c r="H196" s="363"/>
      <c r="I196" s="363"/>
      <c r="J196" s="363"/>
      <c r="K196" s="363"/>
      <c r="L196" s="363"/>
      <c r="M196" s="363"/>
      <c r="N196" s="363"/>
      <c r="O196" s="363"/>
    </row>
    <row r="197" spans="1:15">
      <c r="A197" s="363"/>
      <c r="B197" s="267" t="s">
        <v>342</v>
      </c>
      <c r="C197" s="2">
        <v>531</v>
      </c>
      <c r="D197" s="267" t="s">
        <v>213</v>
      </c>
      <c r="E197" s="267" t="s">
        <v>229</v>
      </c>
      <c r="F197" s="272">
        <f>$C$298</f>
        <v>0.13</v>
      </c>
      <c r="G197" s="146" t="s">
        <v>3406</v>
      </c>
      <c r="H197" s="363"/>
      <c r="I197" s="363"/>
      <c r="J197" s="363"/>
      <c r="K197" s="363"/>
      <c r="L197" s="363"/>
      <c r="M197" s="363"/>
      <c r="N197" s="363"/>
      <c r="O197" s="363"/>
    </row>
    <row r="198" spans="1:15" ht="42">
      <c r="A198" s="363"/>
      <c r="B198" s="267" t="s">
        <v>3404</v>
      </c>
      <c r="C198" s="2">
        <v>683.17600331454764</v>
      </c>
      <c r="D198" s="267" t="s">
        <v>213</v>
      </c>
      <c r="E198" s="274" t="s">
        <v>3405</v>
      </c>
      <c r="F198" s="272">
        <v>0.06</v>
      </c>
      <c r="G198" s="363"/>
      <c r="H198" s="363"/>
      <c r="I198" s="363"/>
      <c r="J198" s="363"/>
      <c r="K198" s="363"/>
      <c r="L198" s="363"/>
      <c r="M198" s="363"/>
      <c r="N198" s="363"/>
      <c r="O198" s="363"/>
    </row>
    <row r="199" spans="1:15">
      <c r="A199" s="363"/>
      <c r="B199" s="267" t="s">
        <v>343</v>
      </c>
      <c r="C199" s="273">
        <f>AVERAGE(C239,C251,C243,C252,C264,C265,C253)</f>
        <v>512.85714285714289</v>
      </c>
      <c r="D199" s="267" t="s">
        <v>213</v>
      </c>
      <c r="E199" s="267" t="s">
        <v>344</v>
      </c>
      <c r="F199" s="272">
        <f>$C$294</f>
        <v>0.08</v>
      </c>
      <c r="G199" s="363"/>
      <c r="H199" s="363"/>
      <c r="I199" s="363"/>
      <c r="J199" s="363"/>
      <c r="K199" s="363"/>
      <c r="L199" s="363"/>
      <c r="M199" s="363"/>
      <c r="N199" s="363"/>
      <c r="O199" s="363"/>
    </row>
    <row r="200" spans="1:15">
      <c r="A200" s="363"/>
      <c r="B200" s="267" t="s">
        <v>345</v>
      </c>
      <c r="C200" s="2">
        <f>AVERAGE(C240,C244,C254,C255,C266,C267,C276,C279,C282)</f>
        <v>2035.1111111111111</v>
      </c>
      <c r="D200" s="267" t="s">
        <v>213</v>
      </c>
      <c r="E200" s="267" t="s">
        <v>344</v>
      </c>
      <c r="F200" s="272">
        <f>$C$294</f>
        <v>0.08</v>
      </c>
      <c r="G200" s="363"/>
      <c r="H200" s="363"/>
      <c r="I200" s="363"/>
      <c r="J200" s="363"/>
      <c r="K200" s="363"/>
      <c r="L200" s="363"/>
      <c r="M200" s="363"/>
      <c r="N200" s="363"/>
      <c r="O200" s="363"/>
    </row>
    <row r="201" spans="1:15">
      <c r="A201" s="363"/>
      <c r="B201" s="267" t="s">
        <v>346</v>
      </c>
      <c r="C201" s="2">
        <f>AVERAGE(C241,C257,C269,C256,C268,C277,C280,C283)</f>
        <v>41</v>
      </c>
      <c r="D201" s="267" t="s">
        <v>213</v>
      </c>
      <c r="E201" s="267" t="s">
        <v>344</v>
      </c>
      <c r="F201" s="272">
        <f>$C$294</f>
        <v>0.08</v>
      </c>
      <c r="G201" s="363"/>
      <c r="H201" s="363"/>
      <c r="I201" s="363"/>
      <c r="J201" s="363"/>
      <c r="K201" s="363"/>
      <c r="L201" s="363"/>
      <c r="M201" s="363"/>
      <c r="N201" s="363"/>
      <c r="O201" s="363"/>
    </row>
    <row r="202" spans="1:15">
      <c r="A202" s="363"/>
      <c r="B202" s="267" t="s">
        <v>347</v>
      </c>
      <c r="C202" s="2">
        <f>AVERAGE(C242,C246,C247,C248,C249,C250,C258,C259,C260,C261,C263,C270,C271,C272,C273,C274,C275,C278,C281,C284)</f>
        <v>1044.7</v>
      </c>
      <c r="D202" s="267" t="s">
        <v>213</v>
      </c>
      <c r="E202" s="267" t="s">
        <v>344</v>
      </c>
      <c r="F202" s="272">
        <f>$C$294</f>
        <v>0.08</v>
      </c>
      <c r="G202" s="363"/>
      <c r="H202" s="363"/>
      <c r="I202" s="363"/>
      <c r="J202" s="363"/>
      <c r="K202" s="363"/>
      <c r="L202" s="363"/>
      <c r="M202" s="363"/>
      <c r="N202" s="363"/>
      <c r="O202" s="363"/>
    </row>
    <row r="203" spans="1:15">
      <c r="A203" s="363"/>
      <c r="B203" s="267" t="s">
        <v>348</v>
      </c>
      <c r="C203" s="2">
        <v>639</v>
      </c>
      <c r="D203" s="267" t="s">
        <v>213</v>
      </c>
      <c r="E203" s="267" t="s">
        <v>229</v>
      </c>
      <c r="F203" s="272">
        <f>$C$296</f>
        <v>0.4</v>
      </c>
      <c r="G203" s="363"/>
      <c r="H203" s="363"/>
      <c r="I203" s="363"/>
      <c r="J203" s="363"/>
      <c r="K203" s="363"/>
      <c r="L203" s="363"/>
      <c r="M203" s="363"/>
      <c r="N203" s="363"/>
      <c r="O203" s="363"/>
    </row>
    <row r="204" spans="1:15">
      <c r="A204" s="363"/>
      <c r="B204" s="267" t="s">
        <v>349</v>
      </c>
      <c r="C204" s="2">
        <v>130</v>
      </c>
      <c r="D204" s="267" t="s">
        <v>213</v>
      </c>
      <c r="E204" s="267" t="s">
        <v>229</v>
      </c>
      <c r="F204" s="272">
        <f>$C$296</f>
        <v>0.4</v>
      </c>
      <c r="G204" s="363"/>
      <c r="H204" s="363"/>
      <c r="I204" s="363"/>
      <c r="J204" s="363"/>
      <c r="K204" s="363"/>
      <c r="L204" s="363"/>
      <c r="M204" s="363"/>
      <c r="N204" s="363"/>
      <c r="O204" s="363"/>
    </row>
    <row r="205" spans="1:15">
      <c r="A205" s="363"/>
      <c r="B205" s="267" t="s">
        <v>350</v>
      </c>
      <c r="C205" s="2">
        <v>41</v>
      </c>
      <c r="D205" s="267" t="s">
        <v>213</v>
      </c>
      <c r="E205" s="267" t="s">
        <v>229</v>
      </c>
      <c r="F205" s="272">
        <f>$C$296</f>
        <v>0.4</v>
      </c>
      <c r="G205" s="363"/>
      <c r="H205" s="363"/>
      <c r="I205" s="363"/>
      <c r="J205" s="363"/>
      <c r="K205" s="363"/>
      <c r="L205" s="363"/>
      <c r="M205" s="363"/>
      <c r="N205" s="363"/>
      <c r="O205" s="363"/>
    </row>
    <row r="206" spans="1:15">
      <c r="A206" s="363"/>
      <c r="B206" s="267" t="s">
        <v>351</v>
      </c>
      <c r="C206" s="2">
        <v>496</v>
      </c>
      <c r="D206" s="267" t="s">
        <v>213</v>
      </c>
      <c r="E206" s="267" t="s">
        <v>229</v>
      </c>
      <c r="F206" s="272">
        <f>$C$296</f>
        <v>0.4</v>
      </c>
      <c r="G206" s="363"/>
      <c r="H206" s="363"/>
      <c r="I206" s="363"/>
      <c r="J206" s="363"/>
      <c r="K206" s="363"/>
      <c r="L206" s="363"/>
      <c r="M206" s="363"/>
      <c r="N206" s="363"/>
      <c r="O206" s="363"/>
    </row>
    <row r="207" spans="1:15">
      <c r="A207" s="363"/>
      <c r="B207" s="267" t="s">
        <v>352</v>
      </c>
      <c r="C207" s="2">
        <v>992</v>
      </c>
      <c r="D207" s="267" t="s">
        <v>213</v>
      </c>
      <c r="E207" s="267" t="s">
        <v>353</v>
      </c>
      <c r="F207" s="272">
        <f>$C$295</f>
        <v>2.5000000000000001E-2</v>
      </c>
      <c r="G207" s="363"/>
      <c r="H207" s="363"/>
      <c r="I207" s="363"/>
      <c r="J207" s="363"/>
      <c r="K207" s="363"/>
      <c r="L207" s="363"/>
      <c r="M207" s="363"/>
      <c r="N207" s="363"/>
      <c r="O207" s="363"/>
    </row>
    <row r="208" spans="1:15">
      <c r="A208" s="363"/>
      <c r="B208" s="267" t="s">
        <v>354</v>
      </c>
      <c r="C208" s="273">
        <v>120</v>
      </c>
      <c r="D208" s="267" t="s">
        <v>213</v>
      </c>
      <c r="E208" s="267" t="s">
        <v>353</v>
      </c>
      <c r="F208" s="272">
        <f>$C$295</f>
        <v>2.5000000000000001E-2</v>
      </c>
      <c r="G208" s="363"/>
      <c r="H208" s="363"/>
      <c r="I208" s="363"/>
      <c r="J208" s="363"/>
      <c r="K208" s="363"/>
      <c r="L208" s="363"/>
      <c r="M208" s="363"/>
      <c r="N208" s="363"/>
      <c r="O208" s="363"/>
    </row>
    <row r="209" spans="1:15">
      <c r="A209" s="363"/>
      <c r="B209" s="267" t="s">
        <v>355</v>
      </c>
      <c r="C209" s="273">
        <v>950</v>
      </c>
      <c r="D209" s="267" t="s">
        <v>213</v>
      </c>
      <c r="E209" s="267" t="s">
        <v>353</v>
      </c>
      <c r="F209" s="272">
        <f>$C$295</f>
        <v>2.5000000000000001E-2</v>
      </c>
      <c r="G209" s="363"/>
      <c r="H209" s="363"/>
      <c r="I209" s="363"/>
      <c r="J209" s="363"/>
      <c r="K209" s="363"/>
      <c r="L209" s="363"/>
      <c r="M209" s="363"/>
      <c r="N209" s="363"/>
      <c r="O209" s="363"/>
    </row>
    <row r="210" spans="1:15">
      <c r="A210" s="363"/>
      <c r="B210" s="267" t="s">
        <v>356</v>
      </c>
      <c r="C210" s="273">
        <v>737</v>
      </c>
      <c r="D210" s="267" t="s">
        <v>213</v>
      </c>
      <c r="E210" s="267" t="s">
        <v>353</v>
      </c>
      <c r="F210" s="272">
        <f>$C$295</f>
        <v>2.5000000000000001E-2</v>
      </c>
      <c r="G210" s="363"/>
      <c r="H210" s="363"/>
      <c r="I210" s="363"/>
      <c r="J210" s="363"/>
      <c r="K210" s="363"/>
      <c r="L210" s="363"/>
      <c r="M210" s="363"/>
      <c r="N210" s="363"/>
      <c r="O210" s="363"/>
    </row>
    <row r="211" spans="1:15">
      <c r="A211" s="363"/>
      <c r="B211" s="267" t="s">
        <v>357</v>
      </c>
      <c r="C211" s="2">
        <f>AVERAGE(C285)</f>
        <v>873</v>
      </c>
      <c r="D211" s="267" t="s">
        <v>213</v>
      </c>
      <c r="E211" s="267" t="s">
        <v>358</v>
      </c>
      <c r="F211" s="272">
        <f>$C$297</f>
        <v>0.2</v>
      </c>
      <c r="G211" s="363"/>
      <c r="H211" s="363"/>
      <c r="I211" s="363"/>
      <c r="J211" s="363"/>
      <c r="K211" s="363"/>
      <c r="L211" s="363"/>
      <c r="M211" s="363"/>
      <c r="N211" s="363"/>
      <c r="O211" s="363"/>
    </row>
    <row r="212" spans="1:15">
      <c r="A212" s="363"/>
      <c r="B212" s="267" t="s">
        <v>359</v>
      </c>
      <c r="C212" s="2">
        <f>AVERAGE(C286,C290)</f>
        <v>122.5</v>
      </c>
      <c r="D212" s="267" t="s">
        <v>213</v>
      </c>
      <c r="E212" s="267" t="s">
        <v>358</v>
      </c>
      <c r="F212" s="272">
        <f>$C$297</f>
        <v>0.2</v>
      </c>
      <c r="G212" s="363"/>
      <c r="H212" s="363"/>
      <c r="I212" s="363"/>
      <c r="J212" s="363"/>
      <c r="K212" s="363"/>
      <c r="L212" s="363"/>
      <c r="M212" s="363"/>
      <c r="N212" s="363"/>
      <c r="O212" s="363"/>
    </row>
    <row r="213" spans="1:15">
      <c r="A213" s="363"/>
      <c r="B213" s="267" t="s">
        <v>360</v>
      </c>
      <c r="C213" s="2">
        <f>AVERAGE(C287,C289)</f>
        <v>41</v>
      </c>
      <c r="D213" s="267" t="s">
        <v>213</v>
      </c>
      <c r="E213" s="267" t="s">
        <v>358</v>
      </c>
      <c r="F213" s="272">
        <f>$C$297</f>
        <v>0.2</v>
      </c>
      <c r="G213" s="363"/>
      <c r="H213" s="363"/>
      <c r="I213" s="363"/>
      <c r="J213" s="363"/>
      <c r="K213" s="363"/>
      <c r="L213" s="363"/>
      <c r="M213" s="363"/>
      <c r="N213" s="363"/>
      <c r="O213" s="363"/>
    </row>
    <row r="214" spans="1:15">
      <c r="A214" s="363"/>
      <c r="B214" s="267" t="s">
        <v>361</v>
      </c>
      <c r="C214" s="2">
        <f>AVERAGE(C288)</f>
        <v>311</v>
      </c>
      <c r="D214" s="267" t="s">
        <v>213</v>
      </c>
      <c r="E214" s="267" t="s">
        <v>358</v>
      </c>
      <c r="F214" s="272">
        <f>$C$297</f>
        <v>0.2</v>
      </c>
      <c r="G214" s="363"/>
      <c r="H214" s="363"/>
      <c r="I214" s="363"/>
      <c r="J214" s="363"/>
      <c r="K214" s="363"/>
      <c r="L214" s="363"/>
      <c r="M214" s="363"/>
      <c r="N214" s="363"/>
      <c r="O214" s="363"/>
    </row>
    <row r="215" spans="1:15">
      <c r="A215" s="363"/>
      <c r="B215" s="267" t="s">
        <v>362</v>
      </c>
      <c r="C215" s="2">
        <v>69</v>
      </c>
      <c r="D215" s="267" t="s">
        <v>213</v>
      </c>
      <c r="E215" s="267" t="s">
        <v>229</v>
      </c>
      <c r="F215" s="272">
        <f>$C$298</f>
        <v>0.13</v>
      </c>
      <c r="G215" s="363"/>
      <c r="H215" s="363"/>
      <c r="I215" s="363"/>
      <c r="J215" s="363"/>
      <c r="K215" s="363"/>
      <c r="L215" s="363"/>
      <c r="M215" s="363"/>
      <c r="N215" s="363"/>
      <c r="O215" s="363"/>
    </row>
    <row r="216" spans="1:15">
      <c r="A216" s="363"/>
      <c r="B216" s="267" t="s">
        <v>363</v>
      </c>
      <c r="C216" s="2">
        <v>714</v>
      </c>
      <c r="D216" s="267" t="s">
        <v>213</v>
      </c>
      <c r="E216" s="267" t="s">
        <v>229</v>
      </c>
      <c r="F216" s="272">
        <f t="shared" ref="F216:F225" si="4">$C$298</f>
        <v>0.13</v>
      </c>
      <c r="G216" s="363"/>
      <c r="H216" s="363"/>
      <c r="I216" s="363"/>
      <c r="J216" s="363"/>
      <c r="K216" s="363"/>
      <c r="L216" s="363"/>
      <c r="M216" s="363"/>
      <c r="N216" s="363"/>
      <c r="O216" s="363"/>
    </row>
    <row r="217" spans="1:15">
      <c r="A217" s="363"/>
      <c r="B217" s="267" t="s">
        <v>364</v>
      </c>
      <c r="C217" s="2">
        <v>269</v>
      </c>
      <c r="D217" s="267" t="s">
        <v>213</v>
      </c>
      <c r="E217" s="267" t="s">
        <v>229</v>
      </c>
      <c r="F217" s="272">
        <f t="shared" si="4"/>
        <v>0.13</v>
      </c>
      <c r="G217" s="363"/>
      <c r="H217" s="363"/>
      <c r="I217" s="363"/>
      <c r="J217" s="363"/>
      <c r="K217" s="363"/>
      <c r="L217" s="363"/>
      <c r="M217" s="363"/>
      <c r="N217" s="363"/>
      <c r="O217" s="363"/>
    </row>
    <row r="218" spans="1:15">
      <c r="A218" s="363"/>
      <c r="B218" s="267" t="s">
        <v>365</v>
      </c>
      <c r="C218" s="2">
        <v>130</v>
      </c>
      <c r="D218" s="267" t="s">
        <v>213</v>
      </c>
      <c r="E218" s="267" t="s">
        <v>229</v>
      </c>
      <c r="F218" s="272">
        <f t="shared" si="4"/>
        <v>0.13</v>
      </c>
      <c r="G218" s="363"/>
      <c r="H218" s="363"/>
      <c r="I218" s="363"/>
      <c r="J218" s="363"/>
      <c r="K218" s="363"/>
      <c r="L218" s="363"/>
      <c r="M218" s="363"/>
      <c r="N218" s="363"/>
      <c r="O218" s="363"/>
    </row>
    <row r="219" spans="1:15">
      <c r="A219" s="363"/>
      <c r="B219" s="267" t="s">
        <v>366</v>
      </c>
      <c r="C219" s="2">
        <v>41</v>
      </c>
      <c r="D219" s="267" t="s">
        <v>213</v>
      </c>
      <c r="E219" s="267" t="s">
        <v>229</v>
      </c>
      <c r="F219" s="272">
        <f t="shared" si="4"/>
        <v>0.13</v>
      </c>
      <c r="G219" s="363"/>
      <c r="H219" s="363"/>
      <c r="I219" s="363"/>
      <c r="J219" s="363"/>
      <c r="K219" s="363"/>
      <c r="L219" s="363"/>
      <c r="M219" s="363"/>
      <c r="N219" s="363"/>
      <c r="O219" s="363"/>
    </row>
    <row r="220" spans="1:15">
      <c r="A220" s="363"/>
      <c r="B220" s="267" t="s">
        <v>367</v>
      </c>
      <c r="C220" s="2">
        <v>102</v>
      </c>
      <c r="D220" s="267" t="s">
        <v>213</v>
      </c>
      <c r="E220" s="267" t="s">
        <v>229</v>
      </c>
      <c r="F220" s="272">
        <f t="shared" si="4"/>
        <v>0.13</v>
      </c>
      <c r="G220" s="363"/>
      <c r="H220" s="363"/>
      <c r="I220" s="363"/>
      <c r="J220" s="363"/>
      <c r="K220" s="363"/>
      <c r="L220" s="363"/>
      <c r="M220" s="363"/>
      <c r="N220" s="363"/>
      <c r="O220" s="363"/>
    </row>
    <row r="221" spans="1:15">
      <c r="A221" s="363"/>
      <c r="B221" s="267" t="s">
        <v>368</v>
      </c>
      <c r="C221" s="2">
        <v>623</v>
      </c>
      <c r="D221" s="267" t="s">
        <v>213</v>
      </c>
      <c r="E221" s="267" t="s">
        <v>229</v>
      </c>
      <c r="F221" s="272">
        <f t="shared" si="4"/>
        <v>0.13</v>
      </c>
      <c r="G221" s="363"/>
      <c r="H221" s="363"/>
      <c r="I221" s="363"/>
      <c r="J221" s="363"/>
      <c r="K221" s="363"/>
      <c r="L221" s="363"/>
      <c r="M221" s="363"/>
      <c r="N221" s="363"/>
      <c r="O221" s="363"/>
    </row>
    <row r="222" spans="1:15">
      <c r="A222" s="363"/>
      <c r="B222" s="267" t="s">
        <v>369</v>
      </c>
      <c r="C222" s="2">
        <v>802</v>
      </c>
      <c r="D222" s="267" t="s">
        <v>213</v>
      </c>
      <c r="E222" s="267" t="s">
        <v>229</v>
      </c>
      <c r="F222" s="272">
        <f t="shared" si="4"/>
        <v>0.13</v>
      </c>
      <c r="G222" s="363"/>
      <c r="H222" s="363"/>
      <c r="I222" s="363"/>
      <c r="J222" s="363"/>
      <c r="K222" s="363"/>
      <c r="L222" s="363"/>
      <c r="M222" s="363"/>
      <c r="N222" s="363"/>
      <c r="O222" s="363"/>
    </row>
    <row r="223" spans="1:15">
      <c r="A223" s="363"/>
      <c r="B223" s="267" t="s">
        <v>370</v>
      </c>
      <c r="C223" s="2">
        <v>451</v>
      </c>
      <c r="D223" s="267" t="s">
        <v>213</v>
      </c>
      <c r="E223" s="267" t="s">
        <v>229</v>
      </c>
      <c r="F223" s="272">
        <f t="shared" si="4"/>
        <v>0.13</v>
      </c>
      <c r="G223" s="363"/>
      <c r="H223" s="363"/>
      <c r="I223" s="363"/>
      <c r="J223" s="363"/>
      <c r="K223" s="363"/>
      <c r="L223" s="363"/>
      <c r="M223" s="363"/>
      <c r="N223" s="363"/>
      <c r="O223" s="363"/>
    </row>
    <row r="224" spans="1:15">
      <c r="A224" s="363"/>
      <c r="B224" s="267" t="s">
        <v>371</v>
      </c>
      <c r="C224" s="2">
        <v>907</v>
      </c>
      <c r="D224" s="267" t="s">
        <v>213</v>
      </c>
      <c r="E224" s="267" t="s">
        <v>229</v>
      </c>
      <c r="F224" s="272">
        <f t="shared" si="4"/>
        <v>0.13</v>
      </c>
      <c r="G224" s="363"/>
      <c r="H224" s="363"/>
      <c r="I224" s="363"/>
      <c r="J224" s="363"/>
      <c r="K224" s="363"/>
      <c r="L224" s="363"/>
      <c r="M224" s="363"/>
      <c r="N224" s="363"/>
      <c r="O224" s="363"/>
    </row>
    <row r="225" spans="1:15">
      <c r="A225" s="363"/>
      <c r="B225" s="267" t="s">
        <v>372</v>
      </c>
      <c r="C225" s="2">
        <v>749</v>
      </c>
      <c r="D225" s="267" t="s">
        <v>213</v>
      </c>
      <c r="E225" s="267" t="s">
        <v>229</v>
      </c>
      <c r="F225" s="272">
        <f t="shared" si="4"/>
        <v>0.13</v>
      </c>
      <c r="G225" s="363"/>
      <c r="H225" s="363"/>
      <c r="I225" s="363"/>
      <c r="J225" s="363"/>
      <c r="K225" s="363"/>
      <c r="L225" s="363"/>
      <c r="M225" s="363"/>
      <c r="N225" s="363"/>
      <c r="O225" s="363"/>
    </row>
    <row r="226" spans="1:15">
      <c r="A226" s="363"/>
      <c r="B226" s="267" t="s">
        <v>373</v>
      </c>
      <c r="C226" s="2">
        <v>437</v>
      </c>
      <c r="D226" s="267" t="s">
        <v>213</v>
      </c>
      <c r="E226" s="267" t="s">
        <v>229</v>
      </c>
      <c r="F226" s="272">
        <f>$C$298</f>
        <v>0.13</v>
      </c>
      <c r="G226" s="363"/>
      <c r="H226" s="363"/>
      <c r="I226" s="363"/>
      <c r="J226" s="363"/>
      <c r="K226" s="363"/>
      <c r="L226" s="363"/>
      <c r="M226" s="363"/>
      <c r="N226" s="363"/>
      <c r="O226" s="363"/>
    </row>
    <row r="227" spans="1:15" ht="42">
      <c r="A227" s="363"/>
      <c r="B227" s="274" t="s">
        <v>374</v>
      </c>
      <c r="C227" s="2">
        <v>661</v>
      </c>
      <c r="D227" s="267" t="s">
        <v>213</v>
      </c>
      <c r="E227" s="267" t="s">
        <v>229</v>
      </c>
      <c r="F227" s="272">
        <f>$C$298</f>
        <v>0.13</v>
      </c>
      <c r="G227" s="363"/>
      <c r="H227" s="363"/>
      <c r="I227" s="363"/>
      <c r="J227" s="363"/>
      <c r="K227" s="363"/>
      <c r="L227" s="363"/>
      <c r="M227" s="363"/>
      <c r="N227" s="363"/>
      <c r="O227" s="363"/>
    </row>
    <row r="228" spans="1:15">
      <c r="A228" s="363"/>
      <c r="B228" s="267" t="s">
        <v>375</v>
      </c>
      <c r="C228" s="2">
        <v>780</v>
      </c>
      <c r="D228" s="267" t="s">
        <v>213</v>
      </c>
      <c r="E228" s="267" t="s">
        <v>229</v>
      </c>
      <c r="F228" s="272">
        <f>$C$298</f>
        <v>0.13</v>
      </c>
      <c r="G228" s="363"/>
      <c r="H228" s="363"/>
      <c r="I228" s="363"/>
      <c r="J228" s="363"/>
      <c r="K228" s="363"/>
      <c r="L228" s="363"/>
      <c r="M228" s="363"/>
      <c r="N228" s="363"/>
      <c r="O228" s="363"/>
    </row>
    <row r="229" spans="1:15">
      <c r="A229" s="363"/>
      <c r="B229" s="267" t="s">
        <v>376</v>
      </c>
      <c r="C229" s="2">
        <v>500</v>
      </c>
      <c r="D229" s="267" t="s">
        <v>213</v>
      </c>
      <c r="E229" s="267" t="s">
        <v>229</v>
      </c>
      <c r="F229" s="272">
        <f>$C$300</f>
        <v>0.1</v>
      </c>
      <c r="G229" s="363"/>
      <c r="H229" s="363"/>
      <c r="I229" s="363"/>
      <c r="J229" s="363"/>
      <c r="K229" s="363"/>
      <c r="L229" s="363"/>
      <c r="M229" s="363"/>
      <c r="N229" s="363"/>
      <c r="O229" s="363"/>
    </row>
    <row r="230" spans="1:15">
      <c r="A230" s="363"/>
      <c r="B230" s="267" t="s">
        <v>377</v>
      </c>
      <c r="C230" s="2">
        <v>360</v>
      </c>
      <c r="D230" s="267" t="s">
        <v>213</v>
      </c>
      <c r="E230" s="267" t="s">
        <v>229</v>
      </c>
      <c r="F230" s="272">
        <f>$C$298</f>
        <v>0.13</v>
      </c>
      <c r="G230" s="363"/>
      <c r="H230" s="363"/>
      <c r="I230" s="363"/>
      <c r="J230" s="363"/>
      <c r="K230" s="363"/>
      <c r="L230" s="363"/>
      <c r="M230" s="363"/>
      <c r="N230" s="363"/>
      <c r="O230" s="363"/>
    </row>
    <row r="231" spans="1:15">
      <c r="A231" s="363"/>
      <c r="B231" s="267" t="s">
        <v>378</v>
      </c>
      <c r="C231" s="2">
        <v>173</v>
      </c>
      <c r="D231" s="267" t="s">
        <v>213</v>
      </c>
      <c r="E231" s="267" t="s">
        <v>229</v>
      </c>
      <c r="F231" s="272">
        <f>$C$302</f>
        <v>0.3</v>
      </c>
      <c r="G231" s="363"/>
      <c r="H231" s="363"/>
      <c r="I231" s="363"/>
      <c r="J231" s="363"/>
      <c r="K231" s="363"/>
      <c r="L231" s="363"/>
      <c r="M231" s="363"/>
      <c r="N231" s="363"/>
      <c r="O231" s="363"/>
    </row>
    <row r="232" spans="1:15">
      <c r="A232" s="363"/>
      <c r="B232" s="267" t="s">
        <v>379</v>
      </c>
      <c r="C232" s="2">
        <v>140</v>
      </c>
      <c r="D232" s="267" t="s">
        <v>213</v>
      </c>
      <c r="E232" s="267" t="s">
        <v>229</v>
      </c>
      <c r="F232" s="272">
        <f>$C$302</f>
        <v>0.3</v>
      </c>
      <c r="G232" s="363"/>
      <c r="H232" s="363"/>
      <c r="I232" s="363"/>
      <c r="J232" s="363"/>
      <c r="K232" s="363"/>
      <c r="L232" s="363"/>
      <c r="M232" s="363"/>
      <c r="N232" s="363"/>
      <c r="O232" s="363"/>
    </row>
    <row r="233" spans="1:15">
      <c r="A233" s="363"/>
      <c r="B233" s="267" t="s">
        <v>380</v>
      </c>
      <c r="C233" s="2">
        <v>9</v>
      </c>
      <c r="D233" s="267" t="s">
        <v>213</v>
      </c>
      <c r="E233" s="267" t="s">
        <v>229</v>
      </c>
      <c r="F233" s="272">
        <f>$C$302</f>
        <v>0.3</v>
      </c>
      <c r="G233" s="363"/>
      <c r="H233" s="363"/>
      <c r="I233" s="363"/>
      <c r="J233" s="363"/>
      <c r="K233" s="363"/>
      <c r="L233" s="363"/>
      <c r="M233" s="363"/>
      <c r="N233" s="363"/>
      <c r="O233" s="363"/>
    </row>
    <row r="234" spans="1:15">
      <c r="A234" s="363"/>
      <c r="B234" s="267" t="s">
        <v>381</v>
      </c>
      <c r="C234" s="2">
        <v>3</v>
      </c>
      <c r="D234" s="267" t="s">
        <v>213</v>
      </c>
      <c r="E234" s="267" t="s">
        <v>229</v>
      </c>
      <c r="F234" s="272">
        <f>$C$302</f>
        <v>0.3</v>
      </c>
      <c r="G234" s="363"/>
      <c r="H234" s="363"/>
      <c r="I234" s="363"/>
      <c r="J234" s="363"/>
      <c r="K234" s="363"/>
      <c r="L234" s="363"/>
      <c r="M234" s="363"/>
      <c r="N234" s="363"/>
      <c r="O234" s="363"/>
    </row>
    <row r="235" spans="1:15">
      <c r="A235" s="363"/>
      <c r="B235" s="267" t="s">
        <v>382</v>
      </c>
      <c r="C235" s="2">
        <v>20</v>
      </c>
      <c r="D235" s="267" t="s">
        <v>213</v>
      </c>
      <c r="E235" s="267" t="s">
        <v>229</v>
      </c>
      <c r="F235" s="272">
        <f>$C$299</f>
        <v>0.14000000000000001</v>
      </c>
      <c r="G235" s="363"/>
      <c r="H235" s="363"/>
      <c r="I235" s="363"/>
      <c r="J235" s="363"/>
      <c r="K235" s="363"/>
      <c r="L235" s="363"/>
      <c r="M235" s="363"/>
      <c r="N235" s="363"/>
      <c r="O235" s="363"/>
    </row>
    <row r="236" spans="1:15">
      <c r="A236" s="363"/>
      <c r="B236" s="363"/>
      <c r="C236" s="364"/>
      <c r="D236" s="363"/>
      <c r="E236" s="363"/>
      <c r="F236" s="363"/>
      <c r="G236" s="363"/>
      <c r="H236" s="363"/>
      <c r="I236" s="363"/>
      <c r="J236" s="363"/>
      <c r="K236" s="363"/>
      <c r="L236" s="363"/>
      <c r="M236" s="363"/>
      <c r="N236" s="363"/>
      <c r="O236" s="363"/>
    </row>
    <row r="237" spans="1:15">
      <c r="A237" s="363"/>
      <c r="B237" s="363"/>
      <c r="C237" s="364"/>
      <c r="D237" s="363"/>
      <c r="E237" s="363"/>
      <c r="F237" s="363"/>
      <c r="G237" s="363"/>
      <c r="H237" s="363"/>
      <c r="I237" s="363"/>
      <c r="J237" s="363"/>
      <c r="K237" s="363"/>
      <c r="L237" s="363"/>
      <c r="M237" s="363"/>
      <c r="N237" s="363"/>
      <c r="O237" s="363"/>
    </row>
    <row r="238" spans="1:15">
      <c r="A238" s="346" t="s">
        <v>3472</v>
      </c>
      <c r="B238" s="270" t="s">
        <v>109</v>
      </c>
      <c r="C238" s="265" t="s">
        <v>209</v>
      </c>
      <c r="D238" s="265" t="s">
        <v>166</v>
      </c>
      <c r="E238" s="265" t="s">
        <v>210</v>
      </c>
      <c r="F238" s="363"/>
      <c r="G238" s="363"/>
      <c r="H238" s="363"/>
      <c r="I238" s="363"/>
      <c r="J238" s="363"/>
      <c r="K238" s="363"/>
      <c r="L238" s="363"/>
      <c r="M238" s="363"/>
      <c r="N238" s="363"/>
      <c r="O238" s="363"/>
    </row>
    <row r="239" spans="1:15">
      <c r="A239" s="363"/>
      <c r="B239" s="267" t="s">
        <v>383</v>
      </c>
      <c r="C239" s="273">
        <v>662</v>
      </c>
      <c r="D239" s="267" t="s">
        <v>213</v>
      </c>
      <c r="E239" s="267" t="s">
        <v>229</v>
      </c>
      <c r="F239" s="363"/>
      <c r="G239" s="363"/>
      <c r="H239" s="363"/>
      <c r="I239" s="363"/>
      <c r="J239" s="363"/>
      <c r="K239" s="363"/>
      <c r="L239" s="363"/>
      <c r="M239" s="363"/>
      <c r="N239" s="363"/>
      <c r="O239" s="363"/>
    </row>
    <row r="240" spans="1:15">
      <c r="A240" s="363"/>
      <c r="B240" s="267" t="s">
        <v>384</v>
      </c>
      <c r="C240" s="2">
        <v>2139</v>
      </c>
      <c r="D240" s="267" t="s">
        <v>213</v>
      </c>
      <c r="E240" s="267" t="s">
        <v>229</v>
      </c>
      <c r="F240" s="363"/>
      <c r="G240" s="363"/>
      <c r="H240" s="363"/>
      <c r="I240" s="363"/>
      <c r="J240" s="363"/>
      <c r="K240" s="363"/>
      <c r="L240" s="363"/>
      <c r="M240" s="363"/>
      <c r="N240" s="363"/>
      <c r="O240" s="363"/>
    </row>
    <row r="241" spans="1:15">
      <c r="A241" s="363"/>
      <c r="B241" s="267" t="s">
        <v>385</v>
      </c>
      <c r="C241" s="2">
        <v>41</v>
      </c>
      <c r="D241" s="267" t="s">
        <v>213</v>
      </c>
      <c r="E241" s="267" t="s">
        <v>229</v>
      </c>
      <c r="F241" s="363"/>
      <c r="G241" s="363"/>
      <c r="H241" s="363"/>
      <c r="I241" s="363"/>
      <c r="J241" s="363"/>
      <c r="K241" s="363"/>
      <c r="L241" s="363"/>
      <c r="M241" s="363"/>
      <c r="N241" s="363"/>
      <c r="O241" s="363"/>
    </row>
    <row r="242" spans="1:15">
      <c r="A242" s="363"/>
      <c r="B242" s="267" t="s">
        <v>386</v>
      </c>
      <c r="C242" s="2">
        <v>1106</v>
      </c>
      <c r="D242" s="267" t="s">
        <v>213</v>
      </c>
      <c r="E242" s="267" t="s">
        <v>229</v>
      </c>
      <c r="F242" s="363"/>
      <c r="G242" s="363"/>
      <c r="H242" s="363"/>
      <c r="I242" s="363"/>
      <c r="J242" s="363"/>
      <c r="K242" s="363"/>
      <c r="L242" s="363"/>
      <c r="M242" s="363"/>
      <c r="N242" s="363"/>
      <c r="O242" s="363"/>
    </row>
    <row r="243" spans="1:15">
      <c r="A243" s="363"/>
      <c r="B243" s="267" t="s">
        <v>387</v>
      </c>
      <c r="C243" s="273">
        <v>662</v>
      </c>
      <c r="D243" s="267" t="s">
        <v>213</v>
      </c>
      <c r="E243" s="267" t="s">
        <v>229</v>
      </c>
      <c r="F243" s="363"/>
      <c r="G243" s="363"/>
      <c r="H243" s="363"/>
      <c r="I243" s="363"/>
      <c r="J243" s="363"/>
      <c r="K243" s="363"/>
      <c r="L243" s="363"/>
      <c r="M243" s="363"/>
      <c r="N243" s="363"/>
      <c r="O243" s="363"/>
    </row>
    <row r="244" spans="1:15">
      <c r="A244" s="363"/>
      <c r="B244" s="267" t="s">
        <v>388</v>
      </c>
      <c r="C244" s="2">
        <v>160</v>
      </c>
      <c r="D244" s="267" t="s">
        <v>213</v>
      </c>
      <c r="E244" s="267" t="s">
        <v>229</v>
      </c>
      <c r="F244" s="363"/>
      <c r="G244" s="363"/>
      <c r="H244" s="363"/>
      <c r="I244" s="363"/>
      <c r="J244" s="363"/>
      <c r="K244" s="363"/>
      <c r="L244" s="363"/>
      <c r="M244" s="363"/>
      <c r="N244" s="363"/>
      <c r="O244" s="363"/>
    </row>
    <row r="245" spans="1:15">
      <c r="A245" s="363"/>
      <c r="B245" s="267" t="s">
        <v>389</v>
      </c>
      <c r="C245" s="2">
        <v>41</v>
      </c>
      <c r="D245" s="267" t="s">
        <v>213</v>
      </c>
      <c r="E245" s="267" t="s">
        <v>229</v>
      </c>
      <c r="F245" s="363"/>
      <c r="G245" s="363"/>
      <c r="H245" s="363"/>
      <c r="I245" s="363"/>
      <c r="J245" s="363"/>
      <c r="K245" s="363"/>
      <c r="L245" s="363"/>
      <c r="M245" s="363"/>
      <c r="N245" s="363"/>
      <c r="O245" s="363"/>
    </row>
    <row r="246" spans="1:15">
      <c r="A246" s="363"/>
      <c r="B246" s="267" t="s">
        <v>390</v>
      </c>
      <c r="C246" s="2">
        <v>1479</v>
      </c>
      <c r="D246" s="267" t="s">
        <v>213</v>
      </c>
      <c r="E246" s="267" t="s">
        <v>229</v>
      </c>
      <c r="F246" s="363"/>
      <c r="G246" s="363"/>
      <c r="H246" s="363"/>
      <c r="I246" s="363"/>
      <c r="J246" s="363"/>
      <c r="K246" s="363"/>
      <c r="L246" s="363"/>
      <c r="M246" s="363"/>
      <c r="N246" s="363"/>
      <c r="O246" s="363"/>
    </row>
    <row r="247" spans="1:15">
      <c r="A247" s="363"/>
      <c r="B247" s="267" t="s">
        <v>391</v>
      </c>
      <c r="C247" s="2">
        <v>395</v>
      </c>
      <c r="D247" s="267" t="s">
        <v>213</v>
      </c>
      <c r="E247" s="267" t="s">
        <v>229</v>
      </c>
      <c r="F247" s="363"/>
      <c r="G247" s="363"/>
      <c r="H247" s="363"/>
      <c r="I247" s="363"/>
      <c r="J247" s="363"/>
      <c r="K247" s="363"/>
      <c r="L247" s="363"/>
      <c r="M247" s="363"/>
      <c r="N247" s="363"/>
      <c r="O247" s="363"/>
    </row>
    <row r="248" spans="1:15">
      <c r="A248" s="363"/>
      <c r="B248" s="267" t="s">
        <v>392</v>
      </c>
      <c r="C248" s="2">
        <v>130</v>
      </c>
      <c r="D248" s="267" t="s">
        <v>213</v>
      </c>
      <c r="E248" s="267" t="s">
        <v>229</v>
      </c>
      <c r="F248" s="363"/>
      <c r="G248" s="363"/>
      <c r="H248" s="363"/>
      <c r="I248" s="363"/>
      <c r="J248" s="363"/>
      <c r="K248" s="363"/>
      <c r="L248" s="363"/>
      <c r="M248" s="363"/>
      <c r="N248" s="363"/>
      <c r="O248" s="363"/>
    </row>
    <row r="249" spans="1:15">
      <c r="A249" s="363"/>
      <c r="B249" s="267" t="s">
        <v>393</v>
      </c>
      <c r="C249" s="2">
        <v>1489</v>
      </c>
      <c r="D249" s="267" t="s">
        <v>213</v>
      </c>
      <c r="E249" s="267" t="s">
        <v>229</v>
      </c>
      <c r="F249" s="363"/>
      <c r="G249" s="363"/>
      <c r="H249" s="363"/>
      <c r="I249" s="363"/>
      <c r="J249" s="363"/>
      <c r="K249" s="363"/>
      <c r="L249" s="363"/>
      <c r="M249" s="363"/>
      <c r="N249" s="363"/>
      <c r="O249" s="363"/>
    </row>
    <row r="250" spans="1:15">
      <c r="A250" s="363"/>
      <c r="B250" s="267" t="s">
        <v>394</v>
      </c>
      <c r="C250" s="2">
        <v>123</v>
      </c>
      <c r="D250" s="267" t="s">
        <v>213</v>
      </c>
      <c r="E250" s="267" t="s">
        <v>229</v>
      </c>
      <c r="F250" s="363"/>
      <c r="G250" s="363"/>
      <c r="H250" s="363"/>
      <c r="I250" s="363"/>
      <c r="J250" s="363"/>
      <c r="K250" s="363"/>
      <c r="L250" s="363"/>
      <c r="M250" s="363"/>
      <c r="N250" s="363"/>
      <c r="O250" s="363"/>
    </row>
    <row r="251" spans="1:15">
      <c r="A251" s="363"/>
      <c r="B251" s="267" t="s">
        <v>395</v>
      </c>
      <c r="C251" s="2">
        <v>434</v>
      </c>
      <c r="D251" s="267" t="s">
        <v>213</v>
      </c>
      <c r="E251" s="267" t="s">
        <v>229</v>
      </c>
      <c r="F251" s="363"/>
      <c r="G251" s="363"/>
      <c r="H251" s="363"/>
      <c r="I251" s="363"/>
      <c r="J251" s="363"/>
      <c r="K251" s="363"/>
      <c r="L251" s="363"/>
      <c r="M251" s="363"/>
      <c r="N251" s="363"/>
      <c r="O251" s="363"/>
    </row>
    <row r="252" spans="1:15">
      <c r="A252" s="363"/>
      <c r="B252" s="267" t="s">
        <v>396</v>
      </c>
      <c r="C252" s="2">
        <v>434</v>
      </c>
      <c r="D252" s="267" t="s">
        <v>213</v>
      </c>
      <c r="E252" s="267" t="s">
        <v>229</v>
      </c>
      <c r="F252" s="363"/>
      <c r="G252" s="363"/>
      <c r="H252" s="363"/>
      <c r="I252" s="363"/>
      <c r="J252" s="363"/>
      <c r="K252" s="363"/>
      <c r="L252" s="363"/>
      <c r="M252" s="363"/>
      <c r="N252" s="363"/>
      <c r="O252" s="363"/>
    </row>
    <row r="253" spans="1:15">
      <c r="A253" s="363"/>
      <c r="B253" s="267" t="s">
        <v>397</v>
      </c>
      <c r="C253" s="2">
        <v>530</v>
      </c>
      <c r="D253" s="267" t="s">
        <v>213</v>
      </c>
      <c r="E253" s="267" t="s">
        <v>229</v>
      </c>
      <c r="F253" s="363"/>
      <c r="G253" s="363"/>
      <c r="H253" s="363"/>
      <c r="I253" s="363"/>
      <c r="J253" s="363"/>
      <c r="K253" s="363"/>
      <c r="L253" s="363"/>
      <c r="M253" s="363"/>
      <c r="N253" s="363"/>
      <c r="O253" s="363"/>
    </row>
    <row r="254" spans="1:15">
      <c r="A254" s="363"/>
      <c r="B254" s="267" t="s">
        <v>398</v>
      </c>
      <c r="C254" s="2">
        <v>2769</v>
      </c>
      <c r="D254" s="267" t="s">
        <v>213</v>
      </c>
      <c r="E254" s="267" t="s">
        <v>229</v>
      </c>
      <c r="F254" s="363"/>
      <c r="G254" s="363"/>
      <c r="H254" s="363"/>
      <c r="I254" s="363"/>
      <c r="J254" s="363"/>
      <c r="K254" s="363"/>
      <c r="L254" s="363"/>
      <c r="M254" s="363"/>
      <c r="N254" s="363"/>
      <c r="O254" s="363"/>
    </row>
    <row r="255" spans="1:15">
      <c r="A255" s="363"/>
      <c r="B255" s="267" t="s">
        <v>399</v>
      </c>
      <c r="C255" s="2">
        <v>122</v>
      </c>
      <c r="D255" s="267" t="s">
        <v>213</v>
      </c>
      <c r="E255" s="267" t="s">
        <v>229</v>
      </c>
      <c r="F255" s="363"/>
      <c r="G255" s="363"/>
      <c r="H255" s="363"/>
      <c r="I255" s="363"/>
      <c r="J255" s="363"/>
      <c r="K255" s="363"/>
      <c r="L255" s="363"/>
      <c r="M255" s="363"/>
      <c r="N255" s="363"/>
      <c r="O255" s="363"/>
    </row>
    <row r="256" spans="1:15">
      <c r="A256" s="363"/>
      <c r="B256" s="267" t="s">
        <v>400</v>
      </c>
      <c r="C256" s="2">
        <v>41</v>
      </c>
      <c r="D256" s="267" t="s">
        <v>213</v>
      </c>
      <c r="E256" s="267" t="s">
        <v>229</v>
      </c>
      <c r="F256" s="363"/>
      <c r="G256" s="363"/>
      <c r="H256" s="363"/>
      <c r="I256" s="363"/>
      <c r="J256" s="363"/>
      <c r="K256" s="363"/>
      <c r="L256" s="363"/>
      <c r="M256" s="363"/>
      <c r="N256" s="363"/>
      <c r="O256" s="363"/>
    </row>
    <row r="257" spans="1:15">
      <c r="A257" s="363"/>
      <c r="B257" s="267" t="s">
        <v>401</v>
      </c>
      <c r="C257" s="2">
        <v>41</v>
      </c>
      <c r="D257" s="267" t="s">
        <v>213</v>
      </c>
      <c r="E257" s="267" t="s">
        <v>229</v>
      </c>
      <c r="F257" s="363"/>
      <c r="G257" s="363"/>
      <c r="H257" s="363"/>
      <c r="I257" s="363"/>
      <c r="J257" s="363"/>
      <c r="K257" s="363"/>
      <c r="L257" s="363"/>
      <c r="M257" s="363"/>
      <c r="N257" s="363"/>
      <c r="O257" s="363"/>
    </row>
    <row r="258" spans="1:15">
      <c r="A258" s="363"/>
      <c r="B258" s="267" t="s">
        <v>402</v>
      </c>
      <c r="C258" s="2">
        <v>1210</v>
      </c>
      <c r="D258" s="267" t="s">
        <v>213</v>
      </c>
      <c r="E258" s="267" t="s">
        <v>229</v>
      </c>
      <c r="F258" s="363"/>
      <c r="G258" s="363"/>
      <c r="H258" s="363"/>
      <c r="I258" s="363"/>
      <c r="J258" s="363"/>
      <c r="K258" s="363"/>
      <c r="L258" s="363"/>
      <c r="M258" s="363"/>
      <c r="N258" s="363"/>
      <c r="O258" s="363"/>
    </row>
    <row r="259" spans="1:15">
      <c r="A259" s="363"/>
      <c r="B259" s="267" t="s">
        <v>403</v>
      </c>
      <c r="C259" s="2">
        <v>1906</v>
      </c>
      <c r="D259" s="267" t="s">
        <v>213</v>
      </c>
      <c r="E259" s="267" t="s">
        <v>229</v>
      </c>
      <c r="F259" s="363"/>
      <c r="G259" s="363"/>
      <c r="H259" s="363"/>
      <c r="I259" s="363"/>
      <c r="J259" s="363"/>
      <c r="K259" s="363"/>
      <c r="L259" s="363"/>
      <c r="M259" s="363"/>
      <c r="N259" s="363"/>
      <c r="O259" s="363"/>
    </row>
    <row r="260" spans="1:15">
      <c r="A260" s="363"/>
      <c r="B260" s="267" t="s">
        <v>404</v>
      </c>
      <c r="C260" s="2">
        <v>258</v>
      </c>
      <c r="D260" s="267" t="s">
        <v>213</v>
      </c>
      <c r="E260" s="267" t="s">
        <v>229</v>
      </c>
      <c r="F260" s="363"/>
      <c r="G260" s="363"/>
      <c r="H260" s="363"/>
      <c r="I260" s="363"/>
      <c r="J260" s="363"/>
      <c r="K260" s="363"/>
      <c r="L260" s="363"/>
      <c r="M260" s="363"/>
      <c r="N260" s="363"/>
      <c r="O260" s="363"/>
    </row>
    <row r="261" spans="1:15">
      <c r="A261" s="363"/>
      <c r="B261" s="267" t="s">
        <v>405</v>
      </c>
      <c r="C261" s="2">
        <v>101</v>
      </c>
      <c r="D261" s="267" t="s">
        <v>213</v>
      </c>
      <c r="E261" s="267" t="s">
        <v>229</v>
      </c>
      <c r="F261" s="363"/>
      <c r="G261" s="363"/>
      <c r="H261" s="363"/>
      <c r="I261" s="363"/>
      <c r="J261" s="363"/>
      <c r="K261" s="363"/>
      <c r="L261" s="363"/>
      <c r="M261" s="363"/>
      <c r="N261" s="363"/>
      <c r="O261" s="363"/>
    </row>
    <row r="262" spans="1:15">
      <c r="A262" s="363"/>
      <c r="B262" s="267" t="s">
        <v>406</v>
      </c>
      <c r="C262" s="2">
        <v>1907</v>
      </c>
      <c r="D262" s="267" t="s">
        <v>213</v>
      </c>
      <c r="E262" s="267" t="s">
        <v>229</v>
      </c>
      <c r="F262" s="363"/>
      <c r="G262" s="363"/>
      <c r="H262" s="363"/>
      <c r="I262" s="363"/>
      <c r="J262" s="363"/>
      <c r="K262" s="363"/>
      <c r="L262" s="363"/>
      <c r="M262" s="363"/>
      <c r="N262" s="363"/>
      <c r="O262" s="363"/>
    </row>
    <row r="263" spans="1:15">
      <c r="A263" s="363"/>
      <c r="B263" s="267" t="s">
        <v>407</v>
      </c>
      <c r="C263" s="2">
        <v>102</v>
      </c>
      <c r="D263" s="267" t="s">
        <v>213</v>
      </c>
      <c r="E263" s="267" t="s">
        <v>229</v>
      </c>
      <c r="F263" s="363"/>
      <c r="G263" s="363"/>
      <c r="H263" s="363"/>
      <c r="I263" s="363"/>
      <c r="J263" s="363"/>
      <c r="K263" s="363"/>
      <c r="L263" s="363"/>
      <c r="M263" s="363"/>
      <c r="N263" s="363"/>
      <c r="O263" s="363"/>
    </row>
    <row r="264" spans="1:15">
      <c r="A264" s="363"/>
      <c r="B264" s="267" t="s">
        <v>408</v>
      </c>
      <c r="C264" s="2">
        <v>434</v>
      </c>
      <c r="D264" s="267" t="s">
        <v>213</v>
      </c>
      <c r="E264" s="267" t="s">
        <v>229</v>
      </c>
      <c r="F264" s="363"/>
      <c r="G264" s="363"/>
      <c r="H264" s="363"/>
      <c r="I264" s="363"/>
      <c r="J264" s="363"/>
      <c r="K264" s="363"/>
      <c r="L264" s="363"/>
      <c r="M264" s="363"/>
      <c r="N264" s="363"/>
      <c r="O264" s="363"/>
    </row>
    <row r="265" spans="1:15">
      <c r="A265" s="363"/>
      <c r="B265" s="267" t="s">
        <v>409</v>
      </c>
      <c r="C265" s="2">
        <v>434</v>
      </c>
      <c r="D265" s="267" t="s">
        <v>213</v>
      </c>
      <c r="E265" s="267" t="s">
        <v>229</v>
      </c>
      <c r="F265" s="363"/>
      <c r="G265" s="363"/>
      <c r="H265" s="363"/>
      <c r="I265" s="363"/>
      <c r="J265" s="363"/>
      <c r="K265" s="363"/>
      <c r="L265" s="363"/>
      <c r="M265" s="363"/>
      <c r="N265" s="363"/>
      <c r="O265" s="363"/>
    </row>
    <row r="266" spans="1:15">
      <c r="A266" s="363"/>
      <c r="B266" s="267" t="s">
        <v>410</v>
      </c>
      <c r="C266" s="2">
        <v>2769</v>
      </c>
      <c r="D266" s="267" t="s">
        <v>213</v>
      </c>
      <c r="E266" s="267" t="s">
        <v>229</v>
      </c>
      <c r="F266" s="363"/>
      <c r="G266" s="363"/>
      <c r="H266" s="363"/>
      <c r="I266" s="363"/>
      <c r="J266" s="363"/>
      <c r="K266" s="363"/>
      <c r="L266" s="363"/>
      <c r="M266" s="363"/>
      <c r="N266" s="363"/>
      <c r="O266" s="363"/>
    </row>
    <row r="267" spans="1:15">
      <c r="A267" s="363"/>
      <c r="B267" s="267" t="s">
        <v>411</v>
      </c>
      <c r="C267" s="2">
        <v>122</v>
      </c>
      <c r="D267" s="267" t="s">
        <v>213</v>
      </c>
      <c r="E267" s="267" t="s">
        <v>229</v>
      </c>
      <c r="F267" s="363"/>
      <c r="G267" s="363"/>
      <c r="H267" s="363"/>
      <c r="I267" s="363"/>
      <c r="J267" s="363"/>
      <c r="K267" s="363"/>
      <c r="L267" s="363"/>
      <c r="M267" s="363"/>
      <c r="N267" s="363"/>
      <c r="O267" s="363"/>
    </row>
    <row r="268" spans="1:15">
      <c r="A268" s="363"/>
      <c r="B268" s="267" t="s">
        <v>412</v>
      </c>
      <c r="C268" s="2">
        <v>41</v>
      </c>
      <c r="D268" s="267" t="s">
        <v>213</v>
      </c>
      <c r="E268" s="267" t="s">
        <v>229</v>
      </c>
      <c r="F268" s="363"/>
      <c r="G268" s="363"/>
      <c r="H268" s="363"/>
      <c r="I268" s="363"/>
      <c r="J268" s="363"/>
      <c r="K268" s="363"/>
      <c r="L268" s="363"/>
      <c r="M268" s="363"/>
      <c r="N268" s="363"/>
      <c r="O268" s="363"/>
    </row>
    <row r="269" spans="1:15">
      <c r="A269" s="363"/>
      <c r="B269" s="267" t="s">
        <v>413</v>
      </c>
      <c r="C269" s="2">
        <v>41</v>
      </c>
      <c r="D269" s="267" t="s">
        <v>213</v>
      </c>
      <c r="E269" s="267" t="s">
        <v>229</v>
      </c>
      <c r="F269" s="363"/>
      <c r="G269" s="363"/>
      <c r="H269" s="363"/>
      <c r="I269" s="363"/>
      <c r="J269" s="363"/>
      <c r="K269" s="363"/>
      <c r="L269" s="363"/>
      <c r="M269" s="363"/>
      <c r="N269" s="363"/>
      <c r="O269" s="363"/>
    </row>
    <row r="270" spans="1:15">
      <c r="A270" s="363"/>
      <c r="B270" s="267" t="s">
        <v>414</v>
      </c>
      <c r="C270" s="2">
        <v>101</v>
      </c>
      <c r="D270" s="267" t="s">
        <v>213</v>
      </c>
      <c r="E270" s="267" t="s">
        <v>229</v>
      </c>
      <c r="F270" s="363"/>
      <c r="G270" s="363"/>
      <c r="H270" s="363"/>
      <c r="I270" s="363"/>
      <c r="J270" s="363"/>
      <c r="K270" s="363"/>
      <c r="L270" s="363"/>
      <c r="M270" s="363"/>
      <c r="N270" s="363"/>
      <c r="O270" s="363"/>
    </row>
    <row r="271" spans="1:15">
      <c r="A271" s="363"/>
      <c r="B271" s="267" t="s">
        <v>415</v>
      </c>
      <c r="C271" s="2">
        <v>1923</v>
      </c>
      <c r="D271" s="267" t="s">
        <v>213</v>
      </c>
      <c r="E271" s="267" t="s">
        <v>229</v>
      </c>
      <c r="F271" s="363"/>
      <c r="G271" s="363"/>
      <c r="H271" s="363"/>
      <c r="I271" s="363"/>
      <c r="J271" s="363"/>
      <c r="K271" s="363"/>
      <c r="L271" s="363"/>
      <c r="M271" s="363"/>
      <c r="N271" s="363"/>
      <c r="O271" s="363"/>
    </row>
    <row r="272" spans="1:15">
      <c r="A272" s="363"/>
      <c r="B272" s="267" t="s">
        <v>416</v>
      </c>
      <c r="C272" s="2">
        <v>97</v>
      </c>
      <c r="D272" s="267" t="s">
        <v>213</v>
      </c>
      <c r="E272" s="267" t="s">
        <v>229</v>
      </c>
      <c r="F272" s="363"/>
      <c r="G272" s="363"/>
      <c r="H272" s="363"/>
      <c r="I272" s="363"/>
      <c r="J272" s="363"/>
      <c r="K272" s="363"/>
      <c r="L272" s="363"/>
      <c r="M272" s="363"/>
      <c r="N272" s="363"/>
      <c r="O272" s="363"/>
    </row>
    <row r="273" spans="1:15">
      <c r="A273" s="363"/>
      <c r="B273" s="267" t="s">
        <v>417</v>
      </c>
      <c r="C273" s="2">
        <v>1210</v>
      </c>
      <c r="D273" s="267" t="s">
        <v>213</v>
      </c>
      <c r="E273" s="267" t="s">
        <v>229</v>
      </c>
      <c r="F273" s="363"/>
      <c r="G273" s="363"/>
      <c r="H273" s="363"/>
      <c r="I273" s="363"/>
      <c r="J273" s="363"/>
      <c r="K273" s="363"/>
      <c r="L273" s="363"/>
      <c r="M273" s="363"/>
      <c r="N273" s="363"/>
      <c r="O273" s="363"/>
    </row>
    <row r="274" spans="1:15">
      <c r="A274" s="363"/>
      <c r="B274" s="267" t="s">
        <v>418</v>
      </c>
      <c r="C274" s="2">
        <v>1906</v>
      </c>
      <c r="D274" s="267" t="s">
        <v>213</v>
      </c>
      <c r="E274" s="267" t="s">
        <v>229</v>
      </c>
      <c r="F274" s="363"/>
      <c r="G274" s="363"/>
      <c r="H274" s="363"/>
      <c r="I274" s="363"/>
      <c r="J274" s="363"/>
      <c r="K274" s="363"/>
      <c r="L274" s="363"/>
      <c r="M274" s="363"/>
      <c r="N274" s="363"/>
      <c r="O274" s="363"/>
    </row>
    <row r="275" spans="1:15">
      <c r="A275" s="363"/>
      <c r="B275" s="267" t="s">
        <v>419</v>
      </c>
      <c r="C275" s="2">
        <v>258</v>
      </c>
      <c r="D275" s="267" t="s">
        <v>213</v>
      </c>
      <c r="E275" s="267" t="s">
        <v>229</v>
      </c>
      <c r="F275" s="363"/>
      <c r="G275" s="363"/>
      <c r="H275" s="363"/>
      <c r="I275" s="363"/>
      <c r="J275" s="363"/>
      <c r="K275" s="363"/>
      <c r="L275" s="363"/>
      <c r="M275" s="363"/>
      <c r="N275" s="363"/>
      <c r="O275" s="363"/>
    </row>
    <row r="276" spans="1:15">
      <c r="A276" s="363"/>
      <c r="B276" s="267" t="s">
        <v>420</v>
      </c>
      <c r="C276" s="2">
        <v>2967</v>
      </c>
      <c r="D276" s="267" t="s">
        <v>213</v>
      </c>
      <c r="E276" s="267" t="s">
        <v>229</v>
      </c>
      <c r="F276" s="363"/>
      <c r="G276" s="363"/>
      <c r="H276" s="363"/>
      <c r="I276" s="363"/>
      <c r="J276" s="363"/>
      <c r="K276" s="363"/>
      <c r="L276" s="363"/>
      <c r="M276" s="363"/>
      <c r="N276" s="363"/>
      <c r="O276" s="363"/>
    </row>
    <row r="277" spans="1:15">
      <c r="A277" s="363"/>
      <c r="B277" s="267" t="s">
        <v>421</v>
      </c>
      <c r="C277" s="2">
        <v>41</v>
      </c>
      <c r="D277" s="267" t="s">
        <v>213</v>
      </c>
      <c r="E277" s="267" t="s">
        <v>229</v>
      </c>
      <c r="F277" s="363"/>
      <c r="G277" s="363"/>
      <c r="H277" s="363"/>
      <c r="I277" s="363"/>
      <c r="J277" s="363"/>
      <c r="K277" s="363"/>
      <c r="L277" s="363"/>
      <c r="M277" s="363"/>
      <c r="N277" s="363"/>
      <c r="O277" s="363"/>
    </row>
    <row r="278" spans="1:15">
      <c r="A278" s="363"/>
      <c r="B278" s="267" t="s">
        <v>422</v>
      </c>
      <c r="C278" s="2">
        <v>2060</v>
      </c>
      <c r="D278" s="267" t="s">
        <v>213</v>
      </c>
      <c r="E278" s="267" t="s">
        <v>229</v>
      </c>
      <c r="F278" s="363"/>
      <c r="G278" s="363"/>
      <c r="H278" s="363"/>
      <c r="I278" s="363"/>
      <c r="J278" s="363"/>
      <c r="K278" s="363"/>
      <c r="L278" s="363"/>
      <c r="M278" s="363"/>
      <c r="N278" s="363"/>
      <c r="O278" s="363"/>
    </row>
    <row r="279" spans="1:15">
      <c r="A279" s="363"/>
      <c r="B279" s="267" t="s">
        <v>423</v>
      </c>
      <c r="C279" s="2">
        <v>4613</v>
      </c>
      <c r="D279" s="267" t="s">
        <v>213</v>
      </c>
      <c r="E279" s="267" t="s">
        <v>229</v>
      </c>
      <c r="F279" s="363"/>
      <c r="G279" s="363"/>
      <c r="H279" s="363"/>
      <c r="I279" s="363"/>
      <c r="J279" s="363"/>
      <c r="K279" s="363"/>
      <c r="L279" s="363"/>
      <c r="M279" s="363"/>
      <c r="N279" s="363"/>
      <c r="O279" s="363"/>
    </row>
    <row r="280" spans="1:15">
      <c r="A280" s="363"/>
      <c r="B280" s="267" t="s">
        <v>424</v>
      </c>
      <c r="C280" s="2">
        <v>41</v>
      </c>
      <c r="D280" s="267" t="s">
        <v>213</v>
      </c>
      <c r="E280" s="267" t="s">
        <v>229</v>
      </c>
      <c r="F280" s="363"/>
      <c r="G280" s="363"/>
      <c r="H280" s="363"/>
      <c r="I280" s="363"/>
      <c r="J280" s="363"/>
      <c r="K280" s="363"/>
      <c r="L280" s="363"/>
      <c r="M280" s="363"/>
      <c r="N280" s="363"/>
      <c r="O280" s="363"/>
    </row>
    <row r="281" spans="1:15">
      <c r="A281" s="363"/>
      <c r="B281" s="267" t="s">
        <v>425</v>
      </c>
      <c r="C281" s="2">
        <v>3196</v>
      </c>
      <c r="D281" s="267" t="s">
        <v>213</v>
      </c>
      <c r="E281" s="267" t="s">
        <v>229</v>
      </c>
      <c r="F281" s="363"/>
      <c r="G281" s="363"/>
      <c r="H281" s="363"/>
      <c r="I281" s="363"/>
      <c r="J281" s="363"/>
      <c r="K281" s="363"/>
      <c r="L281" s="363"/>
      <c r="M281" s="363"/>
      <c r="N281" s="363"/>
      <c r="O281" s="363"/>
    </row>
    <row r="282" spans="1:15">
      <c r="A282" s="363"/>
      <c r="B282" s="267" t="s">
        <v>426</v>
      </c>
      <c r="C282" s="2">
        <v>2655</v>
      </c>
      <c r="D282" s="267" t="s">
        <v>213</v>
      </c>
      <c r="E282" s="267" t="s">
        <v>229</v>
      </c>
      <c r="F282" s="363"/>
      <c r="G282" s="363"/>
      <c r="H282" s="363"/>
      <c r="I282" s="363"/>
      <c r="J282" s="363"/>
      <c r="K282" s="363"/>
      <c r="L282" s="363"/>
      <c r="M282" s="363"/>
      <c r="N282" s="363"/>
      <c r="O282" s="363"/>
    </row>
    <row r="283" spans="1:15">
      <c r="A283" s="363"/>
      <c r="B283" s="267" t="s">
        <v>427</v>
      </c>
      <c r="C283" s="2">
        <v>41</v>
      </c>
      <c r="D283" s="267" t="s">
        <v>213</v>
      </c>
      <c r="E283" s="267" t="s">
        <v>229</v>
      </c>
      <c r="F283" s="363"/>
      <c r="G283" s="363"/>
      <c r="H283" s="363"/>
      <c r="I283" s="363"/>
      <c r="J283" s="363"/>
      <c r="K283" s="363"/>
      <c r="L283" s="363"/>
      <c r="M283" s="363"/>
      <c r="N283" s="363"/>
      <c r="O283" s="363"/>
    </row>
    <row r="284" spans="1:15">
      <c r="A284" s="363"/>
      <c r="B284" s="267" t="s">
        <v>428</v>
      </c>
      <c r="C284" s="2">
        <v>1844</v>
      </c>
      <c r="D284" s="267" t="s">
        <v>213</v>
      </c>
      <c r="E284" s="267" t="s">
        <v>229</v>
      </c>
      <c r="F284" s="363"/>
      <c r="G284" s="363"/>
      <c r="H284" s="363"/>
      <c r="I284" s="363"/>
      <c r="J284" s="363"/>
      <c r="K284" s="363"/>
      <c r="L284" s="363"/>
      <c r="M284" s="363"/>
      <c r="N284" s="363"/>
      <c r="O284" s="363"/>
    </row>
    <row r="285" spans="1:15">
      <c r="A285" s="363"/>
      <c r="B285" s="267" t="s">
        <v>429</v>
      </c>
      <c r="C285" s="2">
        <v>873</v>
      </c>
      <c r="D285" s="267" t="s">
        <v>213</v>
      </c>
      <c r="E285" s="267" t="s">
        <v>229</v>
      </c>
      <c r="F285" s="363"/>
      <c r="G285" s="363"/>
      <c r="H285" s="363"/>
      <c r="I285" s="363"/>
      <c r="J285" s="363"/>
      <c r="K285" s="363"/>
      <c r="L285" s="363"/>
      <c r="M285" s="363"/>
      <c r="N285" s="363"/>
      <c r="O285" s="363"/>
    </row>
    <row r="286" spans="1:15">
      <c r="A286" s="363"/>
      <c r="B286" s="267" t="s">
        <v>430</v>
      </c>
      <c r="C286" s="2">
        <v>110</v>
      </c>
      <c r="D286" s="267" t="s">
        <v>213</v>
      </c>
      <c r="E286" s="267" t="s">
        <v>229</v>
      </c>
      <c r="F286" s="363"/>
      <c r="G286" s="363"/>
      <c r="H286" s="363"/>
      <c r="I286" s="363"/>
      <c r="J286" s="363"/>
      <c r="K286" s="363"/>
      <c r="L286" s="363"/>
      <c r="M286" s="363"/>
      <c r="N286" s="363"/>
      <c r="O286" s="363"/>
    </row>
    <row r="287" spans="1:15">
      <c r="A287" s="363"/>
      <c r="B287" s="267" t="s">
        <v>431</v>
      </c>
      <c r="C287" s="2">
        <v>41</v>
      </c>
      <c r="D287" s="267" t="s">
        <v>213</v>
      </c>
      <c r="E287" s="267" t="s">
        <v>229</v>
      </c>
      <c r="F287" s="363"/>
      <c r="G287" s="363"/>
      <c r="H287" s="363"/>
      <c r="I287" s="363"/>
      <c r="J287" s="363"/>
      <c r="K287" s="363"/>
      <c r="L287" s="363"/>
      <c r="M287" s="363"/>
      <c r="N287" s="363"/>
      <c r="O287" s="363"/>
    </row>
    <row r="288" spans="1:15">
      <c r="A288" s="363"/>
      <c r="B288" s="267" t="s">
        <v>432</v>
      </c>
      <c r="C288" s="2">
        <v>311</v>
      </c>
      <c r="D288" s="267" t="s">
        <v>213</v>
      </c>
      <c r="E288" s="267" t="s">
        <v>229</v>
      </c>
      <c r="F288" s="363"/>
      <c r="G288" s="363"/>
      <c r="H288" s="363"/>
      <c r="I288" s="363"/>
      <c r="J288" s="363"/>
      <c r="K288" s="363"/>
      <c r="L288" s="363"/>
      <c r="M288" s="363"/>
      <c r="N288" s="363"/>
      <c r="O288" s="363"/>
    </row>
    <row r="289" spans="1:15">
      <c r="A289" s="363"/>
      <c r="B289" s="267" t="s">
        <v>433</v>
      </c>
      <c r="C289" s="2">
        <v>41</v>
      </c>
      <c r="D289" s="267" t="s">
        <v>213</v>
      </c>
      <c r="E289" s="267" t="s">
        <v>229</v>
      </c>
      <c r="F289" s="363"/>
      <c r="G289" s="363"/>
      <c r="H289" s="363"/>
      <c r="I289" s="363"/>
      <c r="J289" s="363"/>
      <c r="K289" s="363"/>
      <c r="L289" s="363"/>
      <c r="M289" s="363"/>
      <c r="N289" s="363"/>
      <c r="O289" s="363"/>
    </row>
    <row r="290" spans="1:15">
      <c r="A290" s="363"/>
      <c r="B290" s="267" t="s">
        <v>434</v>
      </c>
      <c r="C290" s="2">
        <v>135</v>
      </c>
      <c r="D290" s="267" t="s">
        <v>213</v>
      </c>
      <c r="E290" s="267" t="s">
        <v>229</v>
      </c>
      <c r="F290" s="363"/>
      <c r="G290" s="363"/>
      <c r="H290" s="363"/>
      <c r="I290" s="363"/>
      <c r="J290" s="363"/>
      <c r="K290" s="363"/>
      <c r="L290" s="363"/>
      <c r="M290" s="363"/>
      <c r="N290" s="363"/>
      <c r="O290" s="363"/>
    </row>
    <row r="291" spans="1:15">
      <c r="A291" s="363"/>
      <c r="B291" s="363"/>
      <c r="C291" s="364"/>
      <c r="D291" s="363"/>
      <c r="E291" s="363"/>
      <c r="F291" s="363"/>
      <c r="G291" s="363"/>
      <c r="H291" s="363"/>
      <c r="I291" s="363"/>
      <c r="J291" s="363"/>
      <c r="K291" s="363"/>
      <c r="L291" s="363"/>
      <c r="M291" s="363"/>
      <c r="N291" s="363"/>
      <c r="O291" s="363"/>
    </row>
    <row r="292" spans="1:15">
      <c r="A292" s="346" t="s">
        <v>3473</v>
      </c>
      <c r="B292" s="265" t="s">
        <v>113</v>
      </c>
      <c r="C292" s="364"/>
      <c r="D292" s="364"/>
      <c r="E292" s="364"/>
      <c r="F292" s="363"/>
      <c r="G292" s="363"/>
      <c r="H292" s="363"/>
      <c r="I292" s="363"/>
      <c r="J292" s="363"/>
      <c r="K292" s="363"/>
      <c r="L292" s="363"/>
      <c r="M292" s="363"/>
      <c r="N292" s="363"/>
      <c r="O292" s="363"/>
    </row>
    <row r="293" spans="1:15">
      <c r="A293" s="363"/>
      <c r="B293" s="267" t="s">
        <v>435</v>
      </c>
      <c r="C293" s="276">
        <v>0.33</v>
      </c>
      <c r="D293" s="267" t="s">
        <v>436</v>
      </c>
      <c r="E293" s="267" t="s">
        <v>437</v>
      </c>
      <c r="F293" s="363"/>
      <c r="G293" s="363"/>
      <c r="H293" s="363"/>
      <c r="I293" s="363"/>
      <c r="J293" s="363"/>
      <c r="K293" s="363"/>
      <c r="L293" s="363"/>
      <c r="M293" s="363"/>
      <c r="N293" s="363"/>
      <c r="O293" s="363"/>
    </row>
    <row r="294" spans="1:15">
      <c r="A294" s="363"/>
      <c r="B294" s="267" t="s">
        <v>438</v>
      </c>
      <c r="C294" s="276">
        <v>0.08</v>
      </c>
      <c r="D294" s="267" t="s">
        <v>436</v>
      </c>
      <c r="E294" s="267" t="s">
        <v>437</v>
      </c>
      <c r="F294" s="363"/>
      <c r="G294" s="363"/>
      <c r="H294" s="363"/>
      <c r="I294" s="363"/>
      <c r="J294" s="363"/>
      <c r="K294" s="363"/>
      <c r="L294" s="363"/>
      <c r="M294" s="363"/>
      <c r="N294" s="363"/>
      <c r="O294" s="363"/>
    </row>
    <row r="295" spans="1:15">
      <c r="A295" s="363"/>
      <c r="B295" s="267" t="s">
        <v>439</v>
      </c>
      <c r="C295" s="276">
        <v>2.5000000000000001E-2</v>
      </c>
      <c r="D295" s="267" t="s">
        <v>436</v>
      </c>
      <c r="E295" s="267" t="s">
        <v>437</v>
      </c>
      <c r="F295" s="363"/>
      <c r="G295" s="363"/>
      <c r="H295" s="363"/>
      <c r="I295" s="363"/>
      <c r="J295" s="363"/>
      <c r="K295" s="363"/>
      <c r="L295" s="363"/>
      <c r="M295" s="363"/>
      <c r="N295" s="363"/>
      <c r="O295" s="363"/>
    </row>
    <row r="296" spans="1:15">
      <c r="A296" s="363"/>
      <c r="B296" s="267" t="s">
        <v>440</v>
      </c>
      <c r="C296" s="276">
        <v>0.4</v>
      </c>
      <c r="D296" s="267" t="s">
        <v>436</v>
      </c>
      <c r="E296" s="267" t="s">
        <v>437</v>
      </c>
      <c r="F296" s="363"/>
      <c r="G296" s="363"/>
      <c r="H296" s="363"/>
      <c r="I296" s="363"/>
      <c r="J296" s="363"/>
      <c r="K296" s="363"/>
      <c r="L296" s="363"/>
      <c r="M296" s="363"/>
      <c r="N296" s="363"/>
      <c r="O296" s="363"/>
    </row>
    <row r="297" spans="1:15">
      <c r="A297" s="363"/>
      <c r="B297" s="267" t="s">
        <v>441</v>
      </c>
      <c r="C297" s="276">
        <v>0.2</v>
      </c>
      <c r="D297" s="267" t="s">
        <v>436</v>
      </c>
      <c r="E297" s="267" t="s">
        <v>437</v>
      </c>
      <c r="F297" s="363"/>
      <c r="G297" s="363"/>
      <c r="H297" s="363"/>
      <c r="I297" s="363"/>
      <c r="J297" s="363"/>
      <c r="K297" s="363"/>
      <c r="L297" s="363"/>
      <c r="M297" s="363"/>
      <c r="N297" s="363"/>
      <c r="O297" s="363"/>
    </row>
    <row r="298" spans="1:15">
      <c r="A298" s="363"/>
      <c r="B298" s="267" t="s">
        <v>442</v>
      </c>
      <c r="C298" s="276">
        <v>0.13</v>
      </c>
      <c r="D298" s="267" t="s">
        <v>436</v>
      </c>
      <c r="E298" s="267" t="s">
        <v>437</v>
      </c>
      <c r="F298" s="363"/>
      <c r="G298" s="363"/>
      <c r="H298" s="363"/>
      <c r="I298" s="363"/>
      <c r="J298" s="363"/>
      <c r="K298" s="363"/>
      <c r="L298" s="363"/>
      <c r="M298" s="363"/>
      <c r="N298" s="363"/>
      <c r="O298" s="363"/>
    </row>
    <row r="299" spans="1:15">
      <c r="A299" s="363"/>
      <c r="B299" s="267" t="s">
        <v>443</v>
      </c>
      <c r="C299" s="276">
        <v>0.14000000000000001</v>
      </c>
      <c r="D299" s="267" t="s">
        <v>436</v>
      </c>
      <c r="E299" s="267" t="s">
        <v>437</v>
      </c>
      <c r="F299" s="363"/>
      <c r="G299" s="363"/>
      <c r="H299" s="363"/>
      <c r="I299" s="363"/>
      <c r="J299" s="363"/>
      <c r="K299" s="363"/>
      <c r="L299" s="363"/>
      <c r="M299" s="363"/>
      <c r="N299" s="363"/>
      <c r="O299" s="363"/>
    </row>
    <row r="300" spans="1:15">
      <c r="A300" s="363"/>
      <c r="B300" s="267" t="s">
        <v>444</v>
      </c>
      <c r="C300" s="276">
        <v>0.1</v>
      </c>
      <c r="D300" s="267" t="s">
        <v>436</v>
      </c>
      <c r="E300" s="267" t="s">
        <v>437</v>
      </c>
      <c r="F300" s="363"/>
      <c r="G300" s="363"/>
      <c r="H300" s="363"/>
      <c r="I300" s="363"/>
      <c r="J300" s="363"/>
      <c r="K300" s="363"/>
      <c r="L300" s="363"/>
      <c r="M300" s="363"/>
      <c r="N300" s="363"/>
      <c r="O300" s="363"/>
    </row>
    <row r="301" spans="1:15">
      <c r="A301" s="363"/>
      <c r="B301" s="267" t="s">
        <v>445</v>
      </c>
      <c r="C301" s="276">
        <v>0.3</v>
      </c>
      <c r="D301" s="267" t="s">
        <v>436</v>
      </c>
      <c r="E301" s="267" t="s">
        <v>437</v>
      </c>
      <c r="F301" s="363"/>
      <c r="G301" s="363"/>
      <c r="H301" s="363"/>
      <c r="I301" s="363"/>
      <c r="J301" s="363"/>
      <c r="K301" s="363"/>
      <c r="L301" s="363"/>
      <c r="M301" s="363"/>
      <c r="N301" s="363"/>
      <c r="O301" s="363"/>
    </row>
    <row r="302" spans="1:15">
      <c r="A302" s="363"/>
      <c r="B302" s="267" t="s">
        <v>446</v>
      </c>
      <c r="C302" s="276">
        <f>300/1000</f>
        <v>0.3</v>
      </c>
      <c r="D302" s="267" t="s">
        <v>436</v>
      </c>
      <c r="E302" s="267" t="s">
        <v>437</v>
      </c>
      <c r="F302" s="363"/>
      <c r="G302" s="363"/>
      <c r="H302" s="363"/>
      <c r="I302" s="363"/>
      <c r="J302" s="363"/>
      <c r="K302" s="363"/>
      <c r="L302" s="363"/>
      <c r="M302" s="363"/>
      <c r="N302" s="363"/>
      <c r="O302" s="363"/>
    </row>
    <row r="303" spans="1:15">
      <c r="A303" s="363"/>
      <c r="B303" s="363"/>
      <c r="C303" s="364"/>
      <c r="D303" s="363"/>
      <c r="E303" s="363"/>
      <c r="F303" s="363"/>
      <c r="G303" s="363"/>
      <c r="H303" s="363"/>
      <c r="I303" s="363"/>
      <c r="J303" s="363"/>
      <c r="K303" s="363"/>
      <c r="L303" s="363"/>
      <c r="M303" s="363"/>
      <c r="N303" s="363"/>
      <c r="O303" s="363"/>
    </row>
    <row r="304" spans="1:15">
      <c r="A304" s="363"/>
      <c r="B304" s="363"/>
      <c r="C304" s="364"/>
      <c r="D304" s="363"/>
      <c r="E304" s="363"/>
      <c r="F304" s="363"/>
      <c r="G304" s="363"/>
      <c r="H304" s="363"/>
      <c r="I304" s="363"/>
      <c r="J304" s="363"/>
      <c r="K304" s="363"/>
      <c r="L304" s="363"/>
      <c r="M304" s="363"/>
      <c r="N304" s="363"/>
      <c r="O304" s="363"/>
    </row>
    <row r="305" spans="1:15" ht="28">
      <c r="A305" s="346" t="s">
        <v>3468</v>
      </c>
      <c r="B305" s="271" t="s">
        <v>447</v>
      </c>
      <c r="C305" s="271" t="s">
        <v>448</v>
      </c>
      <c r="D305" s="363"/>
      <c r="E305" s="271" t="s">
        <v>210</v>
      </c>
      <c r="F305" s="363"/>
      <c r="G305" s="363"/>
      <c r="H305" s="363"/>
      <c r="I305" s="363"/>
      <c r="J305" s="363"/>
      <c r="K305" s="363"/>
      <c r="L305" s="363"/>
      <c r="M305" s="363"/>
      <c r="N305" s="363"/>
      <c r="O305" s="363"/>
    </row>
    <row r="306" spans="1:15" ht="42">
      <c r="A306" s="363"/>
      <c r="B306" s="267" t="s">
        <v>449</v>
      </c>
      <c r="C306" s="276">
        <v>5.0999999999999996</v>
      </c>
      <c r="D306" s="267" t="s">
        <v>450</v>
      </c>
      <c r="E306" s="274" t="s">
        <v>451</v>
      </c>
      <c r="F306" s="363"/>
      <c r="G306" s="363"/>
      <c r="H306" s="363"/>
      <c r="I306" s="363"/>
      <c r="J306" s="363"/>
      <c r="K306" s="363"/>
      <c r="L306" s="363"/>
      <c r="M306" s="363"/>
      <c r="N306" s="363"/>
      <c r="O306" s="363"/>
    </row>
    <row r="307" spans="1:15" ht="28">
      <c r="A307" s="363"/>
      <c r="B307" s="267" t="s">
        <v>452</v>
      </c>
      <c r="C307" s="276">
        <v>7.6</v>
      </c>
      <c r="D307" s="267" t="s">
        <v>450</v>
      </c>
      <c r="E307" s="274" t="s">
        <v>453</v>
      </c>
      <c r="F307" s="363"/>
      <c r="G307" s="363"/>
      <c r="H307" s="363"/>
      <c r="I307" s="363"/>
      <c r="J307" s="363"/>
      <c r="K307" s="363"/>
      <c r="L307" s="363"/>
      <c r="M307" s="363"/>
      <c r="N307" s="363"/>
      <c r="O307" s="363"/>
    </row>
    <row r="308" spans="1:15" ht="28">
      <c r="A308" s="363"/>
      <c r="B308" s="267" t="s">
        <v>454</v>
      </c>
      <c r="C308" s="276">
        <v>6.8</v>
      </c>
      <c r="D308" s="267" t="s">
        <v>450</v>
      </c>
      <c r="E308" s="274" t="s">
        <v>455</v>
      </c>
      <c r="F308" s="363"/>
      <c r="G308" s="363"/>
      <c r="H308" s="363"/>
      <c r="I308" s="363"/>
      <c r="J308" s="363"/>
      <c r="K308" s="363"/>
      <c r="L308" s="363"/>
      <c r="M308" s="363"/>
      <c r="N308" s="363"/>
      <c r="O308" s="363"/>
    </row>
    <row r="309" spans="1:15" ht="14.5">
      <c r="A309" s="363"/>
      <c r="B309" s="267" t="s">
        <v>456</v>
      </c>
      <c r="C309" s="276">
        <v>33.32</v>
      </c>
      <c r="D309" s="267" t="s">
        <v>450</v>
      </c>
      <c r="E309" s="277" t="s">
        <v>457</v>
      </c>
      <c r="F309" s="363"/>
      <c r="G309" s="363"/>
      <c r="H309" s="363"/>
      <c r="I309" s="363"/>
      <c r="J309" s="363"/>
      <c r="K309" s="363"/>
      <c r="L309" s="363"/>
      <c r="M309" s="363"/>
      <c r="N309" s="363"/>
      <c r="O309" s="363"/>
    </row>
    <row r="310" spans="1:15">
      <c r="A310" s="363"/>
      <c r="B310" s="363"/>
      <c r="C310" s="364"/>
      <c r="D310" s="363"/>
      <c r="E310" s="363"/>
      <c r="F310" s="363"/>
      <c r="G310" s="363"/>
      <c r="H310" s="363"/>
      <c r="I310" s="363"/>
      <c r="J310" s="363"/>
      <c r="K310" s="363"/>
      <c r="L310" s="363"/>
      <c r="M310" s="363"/>
      <c r="N310" s="363"/>
      <c r="O310" s="363"/>
    </row>
    <row r="311" spans="1:15">
      <c r="A311" s="363"/>
      <c r="B311" s="363"/>
      <c r="C311" s="364"/>
      <c r="D311" s="363"/>
      <c r="E311" s="363"/>
      <c r="F311" s="363"/>
      <c r="G311" s="363"/>
      <c r="H311" s="363"/>
      <c r="I311" s="363"/>
      <c r="J311" s="363"/>
      <c r="K311" s="363"/>
      <c r="L311" s="363"/>
      <c r="M311" s="363"/>
      <c r="N311" s="363"/>
      <c r="O311" s="363"/>
    </row>
    <row r="312" spans="1:15" s="260" customFormat="1">
      <c r="A312" s="346" t="s">
        <v>3474</v>
      </c>
      <c r="B312" s="265" t="s">
        <v>123</v>
      </c>
      <c r="C312" s="271" t="s">
        <v>458</v>
      </c>
      <c r="D312" s="265" t="s">
        <v>459</v>
      </c>
      <c r="E312" s="271" t="s">
        <v>460</v>
      </c>
      <c r="F312" s="271" t="s">
        <v>19</v>
      </c>
      <c r="G312" s="367"/>
      <c r="H312" s="367"/>
      <c r="I312" s="367"/>
      <c r="J312" s="367"/>
      <c r="K312" s="367"/>
      <c r="L312" s="367"/>
      <c r="M312" s="367"/>
      <c r="N312" s="367"/>
      <c r="O312" s="367"/>
    </row>
    <row r="313" spans="1:15" s="260" customFormat="1">
      <c r="A313" s="367"/>
      <c r="B313" s="241" t="s">
        <v>461</v>
      </c>
      <c r="C313" s="241" t="s">
        <v>462</v>
      </c>
      <c r="D313" s="241" t="str">
        <f t="shared" ref="D313:D349" si="5">B313&amp;" - "&amp;C313</f>
        <v>Autre - 120 x 176 mm</v>
      </c>
      <c r="E313" s="242">
        <f>120*176</f>
        <v>21120</v>
      </c>
      <c r="F313" s="242">
        <f>E313*10^-6</f>
        <v>2.112E-2</v>
      </c>
      <c r="G313" s="367"/>
      <c r="H313" s="367"/>
      <c r="I313" s="367"/>
      <c r="J313" s="367"/>
      <c r="K313" s="367"/>
      <c r="L313" s="367"/>
      <c r="M313" s="367"/>
      <c r="N313" s="367"/>
      <c r="O313" s="367"/>
    </row>
    <row r="314" spans="1:15" s="260" customFormat="1">
      <c r="A314" s="367"/>
      <c r="B314" s="241" t="s">
        <v>461</v>
      </c>
      <c r="C314" s="241" t="s">
        <v>463</v>
      </c>
      <c r="D314" s="241" t="str">
        <f t="shared" si="5"/>
        <v>Autre - 320 x 240 mm</v>
      </c>
      <c r="E314" s="242">
        <f>320*240</f>
        <v>76800</v>
      </c>
      <c r="F314" s="242">
        <f>E314*10^-6</f>
        <v>7.6799999999999993E-2</v>
      </c>
      <c r="G314" s="367"/>
      <c r="H314" s="367"/>
      <c r="I314" s="367"/>
      <c r="J314" s="367"/>
      <c r="K314" s="367"/>
      <c r="L314" s="367"/>
      <c r="M314" s="367"/>
      <c r="N314" s="367"/>
      <c r="O314" s="367"/>
    </row>
    <row r="315" spans="1:15" s="260" customFormat="1" ht="28">
      <c r="A315" s="367"/>
      <c r="B315" s="241" t="s">
        <v>461</v>
      </c>
      <c r="C315" s="241" t="s">
        <v>464</v>
      </c>
      <c r="D315" s="241" t="str">
        <f t="shared" si="5"/>
        <v>Autre - 101,6 x 53,975 mm</v>
      </c>
      <c r="E315" s="242">
        <f>101.6*53.975</f>
        <v>5483.86</v>
      </c>
      <c r="F315" s="242">
        <f>E315*10^-6</f>
        <v>5.4838599999999993E-3</v>
      </c>
      <c r="G315" s="367"/>
      <c r="H315" s="367"/>
      <c r="I315" s="367"/>
      <c r="J315" s="367"/>
      <c r="K315" s="367"/>
      <c r="L315" s="367"/>
      <c r="M315" s="367"/>
      <c r="N315" s="367"/>
      <c r="O315" s="367"/>
    </row>
    <row r="316" spans="1:15" s="260" customFormat="1">
      <c r="A316" s="367"/>
      <c r="B316" s="241" t="s">
        <v>461</v>
      </c>
      <c r="C316" s="241" t="s">
        <v>465</v>
      </c>
      <c r="D316" s="241" t="str">
        <f t="shared" si="5"/>
        <v>Autre - 152 x 70 mm</v>
      </c>
      <c r="E316" s="242">
        <f>152*70</f>
        <v>10640</v>
      </c>
      <c r="F316" s="242">
        <f>E316*10^-6</f>
        <v>1.064E-2</v>
      </c>
      <c r="G316" s="367"/>
      <c r="H316" s="367"/>
      <c r="I316" s="367"/>
      <c r="J316" s="367"/>
      <c r="K316" s="367"/>
      <c r="L316" s="367"/>
      <c r="M316" s="367"/>
      <c r="N316" s="367"/>
      <c r="O316" s="367"/>
    </row>
    <row r="317" spans="1:15">
      <c r="A317" s="363"/>
      <c r="B317" s="241" t="s">
        <v>466</v>
      </c>
      <c r="C317" s="241" t="s">
        <v>467</v>
      </c>
      <c r="D317" s="241" t="str">
        <f t="shared" si="5"/>
        <v>A0 - 841 x 1189 mm</v>
      </c>
      <c r="E317" s="242">
        <f>841*1189</f>
        <v>999949</v>
      </c>
      <c r="F317" s="242">
        <f>E317*10^-6</f>
        <v>0.99994899999999998</v>
      </c>
      <c r="G317" s="363"/>
      <c r="H317" s="363"/>
      <c r="I317" s="363"/>
      <c r="J317" s="363"/>
      <c r="K317" s="363"/>
      <c r="L317" s="363"/>
      <c r="M317" s="363"/>
      <c r="N317" s="363"/>
      <c r="O317" s="363"/>
    </row>
    <row r="318" spans="1:15">
      <c r="A318" s="363"/>
      <c r="B318" s="241" t="s">
        <v>468</v>
      </c>
      <c r="C318" s="241" t="s">
        <v>469</v>
      </c>
      <c r="D318" s="241" t="str">
        <f t="shared" si="5"/>
        <v>A1 - 594 x 841 mm</v>
      </c>
      <c r="E318" s="242">
        <f>594*841</f>
        <v>499554</v>
      </c>
      <c r="F318" s="242">
        <f t="shared" ref="F318:F349" si="6">E318*10^-6</f>
        <v>0.499554</v>
      </c>
      <c r="G318" s="363"/>
      <c r="H318" s="363"/>
      <c r="I318" s="363"/>
      <c r="J318" s="363"/>
      <c r="K318" s="363"/>
      <c r="L318" s="363"/>
      <c r="M318" s="363"/>
      <c r="N318" s="363"/>
      <c r="O318" s="363"/>
    </row>
    <row r="319" spans="1:15">
      <c r="A319" s="363"/>
      <c r="B319" s="241" t="s">
        <v>470</v>
      </c>
      <c r="C319" s="241" t="s">
        <v>471</v>
      </c>
      <c r="D319" s="241" t="str">
        <f t="shared" si="5"/>
        <v>A2 - 420 x 594 mm</v>
      </c>
      <c r="E319" s="242">
        <f>420*594</f>
        <v>249480</v>
      </c>
      <c r="F319" s="242">
        <f t="shared" si="6"/>
        <v>0.24947999999999998</v>
      </c>
      <c r="G319" s="363"/>
      <c r="H319" s="363"/>
      <c r="I319" s="363"/>
      <c r="J319" s="363"/>
      <c r="K319" s="363"/>
      <c r="L319" s="363"/>
      <c r="M319" s="363"/>
      <c r="N319" s="363"/>
      <c r="O319" s="363"/>
    </row>
    <row r="320" spans="1:15">
      <c r="A320" s="363"/>
      <c r="B320" s="241" t="s">
        <v>472</v>
      </c>
      <c r="C320" s="241" t="s">
        <v>473</v>
      </c>
      <c r="D320" s="241" t="str">
        <f t="shared" si="5"/>
        <v>A3 - 297 x 420 mm</v>
      </c>
      <c r="E320" s="242">
        <f>297*420</f>
        <v>124740</v>
      </c>
      <c r="F320" s="242">
        <f t="shared" si="6"/>
        <v>0.12473999999999999</v>
      </c>
      <c r="G320" s="363"/>
      <c r="H320" s="363"/>
      <c r="I320" s="363"/>
      <c r="J320" s="363"/>
      <c r="K320" s="363"/>
      <c r="L320" s="363"/>
      <c r="M320" s="363"/>
      <c r="N320" s="363"/>
      <c r="O320" s="363"/>
    </row>
    <row r="321" spans="1:15">
      <c r="A321" s="363"/>
      <c r="B321" s="241" t="s">
        <v>474</v>
      </c>
      <c r="C321" s="241" t="s">
        <v>475</v>
      </c>
      <c r="D321" s="241" t="str">
        <f t="shared" si="5"/>
        <v>A4 - 210 × 297 mm</v>
      </c>
      <c r="E321" s="242">
        <f>297*210</f>
        <v>62370</v>
      </c>
      <c r="F321" s="242">
        <f t="shared" si="6"/>
        <v>6.2369999999999995E-2</v>
      </c>
      <c r="G321" s="363"/>
      <c r="H321" s="363"/>
      <c r="I321" s="363"/>
      <c r="J321" s="363"/>
      <c r="K321" s="363"/>
      <c r="L321" s="363"/>
      <c r="M321" s="363"/>
      <c r="N321" s="363"/>
      <c r="O321" s="363"/>
    </row>
    <row r="322" spans="1:15">
      <c r="A322" s="363"/>
      <c r="B322" s="241" t="s">
        <v>476</v>
      </c>
      <c r="C322" s="241" t="s">
        <v>477</v>
      </c>
      <c r="D322" s="241" t="str">
        <f t="shared" si="5"/>
        <v>A5 - 148 x 210 mm</v>
      </c>
      <c r="E322" s="242">
        <f>148*210</f>
        <v>31080</v>
      </c>
      <c r="F322" s="273">
        <f t="shared" si="6"/>
        <v>3.108E-2</v>
      </c>
      <c r="G322" s="370"/>
      <c r="H322" s="363"/>
      <c r="I322" s="363"/>
      <c r="J322" s="363"/>
      <c r="K322" s="363"/>
      <c r="L322" s="363"/>
      <c r="M322" s="363"/>
      <c r="N322" s="363"/>
      <c r="O322" s="363"/>
    </row>
    <row r="323" spans="1:15">
      <c r="A323" s="363"/>
      <c r="B323" s="241" t="s">
        <v>478</v>
      </c>
      <c r="C323" s="241" t="s">
        <v>479</v>
      </c>
      <c r="D323" s="241" t="str">
        <f t="shared" si="5"/>
        <v>A6 - 148 x 105 mm</v>
      </c>
      <c r="E323" s="242">
        <f>105*148</f>
        <v>15540</v>
      </c>
      <c r="F323" s="273">
        <f t="shared" si="6"/>
        <v>1.554E-2</v>
      </c>
      <c r="G323" s="370"/>
      <c r="H323" s="363"/>
      <c r="I323" s="363"/>
      <c r="J323" s="363"/>
      <c r="K323" s="363"/>
      <c r="L323" s="363"/>
      <c r="M323" s="363"/>
      <c r="N323" s="363"/>
      <c r="O323" s="363"/>
    </row>
    <row r="324" spans="1:15">
      <c r="A324" s="363"/>
      <c r="B324" s="241" t="s">
        <v>480</v>
      </c>
      <c r="C324" s="241" t="s">
        <v>481</v>
      </c>
      <c r="D324" s="241" t="str">
        <f t="shared" si="5"/>
        <v>A7 - 105 x 74 mm</v>
      </c>
      <c r="E324" s="242">
        <f>105*74</f>
        <v>7770</v>
      </c>
      <c r="F324" s="273">
        <f t="shared" si="6"/>
        <v>7.77E-3</v>
      </c>
      <c r="G324" s="370"/>
      <c r="H324" s="363"/>
      <c r="I324" s="363"/>
      <c r="J324" s="363"/>
      <c r="K324" s="363"/>
      <c r="L324" s="363"/>
      <c r="M324" s="363"/>
      <c r="N324" s="363"/>
      <c r="O324" s="363"/>
    </row>
    <row r="325" spans="1:15">
      <c r="A325" s="363"/>
      <c r="B325" s="241" t="s">
        <v>482</v>
      </c>
      <c r="C325" s="241" t="s">
        <v>483</v>
      </c>
      <c r="D325" s="241" t="str">
        <f t="shared" si="5"/>
        <v>A8 - 74 x 52 mm</v>
      </c>
      <c r="E325" s="242">
        <f>74*52</f>
        <v>3848</v>
      </c>
      <c r="F325" s="273">
        <f t="shared" si="6"/>
        <v>3.8479999999999999E-3</v>
      </c>
      <c r="G325" s="363"/>
      <c r="H325" s="363"/>
      <c r="I325" s="363"/>
      <c r="J325" s="363"/>
      <c r="K325" s="363"/>
      <c r="L325" s="363"/>
      <c r="M325" s="363"/>
      <c r="N325" s="363"/>
      <c r="O325" s="363"/>
    </row>
    <row r="326" spans="1:15">
      <c r="A326" s="363"/>
      <c r="B326" s="241" t="s">
        <v>484</v>
      </c>
      <c r="C326" s="241" t="s">
        <v>485</v>
      </c>
      <c r="D326" s="241" t="str">
        <f t="shared" si="5"/>
        <v>A9 - 52 x 37 mm</v>
      </c>
      <c r="E326" s="242">
        <f>52*37</f>
        <v>1924</v>
      </c>
      <c r="F326" s="273">
        <f t="shared" si="6"/>
        <v>1.9239999999999999E-3</v>
      </c>
      <c r="G326" s="363"/>
      <c r="H326" s="363"/>
      <c r="I326" s="363"/>
      <c r="J326" s="363"/>
      <c r="K326" s="363"/>
      <c r="L326" s="363"/>
      <c r="M326" s="363"/>
      <c r="N326" s="363"/>
      <c r="O326" s="363"/>
    </row>
    <row r="327" spans="1:15" s="260" customFormat="1">
      <c r="A327" s="367"/>
      <c r="B327" s="241" t="s">
        <v>486</v>
      </c>
      <c r="C327" s="241" t="s">
        <v>487</v>
      </c>
      <c r="D327" s="241" t="str">
        <f t="shared" si="5"/>
        <v>A10 - 37 x 26 mm</v>
      </c>
      <c r="E327" s="242">
        <f>37*26</f>
        <v>962</v>
      </c>
      <c r="F327" s="273">
        <f t="shared" si="6"/>
        <v>9.6199999999999996E-4</v>
      </c>
      <c r="G327" s="367"/>
      <c r="H327" s="367"/>
      <c r="I327" s="367"/>
      <c r="J327" s="367"/>
      <c r="K327" s="367"/>
      <c r="L327" s="367"/>
      <c r="M327" s="367"/>
      <c r="N327" s="367"/>
      <c r="O327" s="367"/>
    </row>
    <row r="328" spans="1:15">
      <c r="A328" s="363"/>
      <c r="B328" s="241" t="s">
        <v>488</v>
      </c>
      <c r="C328" s="241" t="s">
        <v>489</v>
      </c>
      <c r="D328" s="241" t="str">
        <f t="shared" si="5"/>
        <v>B0 - 1000 x 1414 mm</v>
      </c>
      <c r="E328" s="242">
        <f>1000*1414</f>
        <v>1414000</v>
      </c>
      <c r="F328" s="242">
        <f t="shared" si="6"/>
        <v>1.4139999999999999</v>
      </c>
      <c r="G328" s="363"/>
      <c r="H328" s="363"/>
      <c r="I328" s="363"/>
      <c r="J328" s="363"/>
      <c r="K328" s="363"/>
      <c r="L328" s="363"/>
      <c r="M328" s="363"/>
      <c r="N328" s="363"/>
      <c r="O328" s="363"/>
    </row>
    <row r="329" spans="1:15">
      <c r="A329" s="363"/>
      <c r="B329" s="241" t="s">
        <v>490</v>
      </c>
      <c r="C329" s="241" t="s">
        <v>491</v>
      </c>
      <c r="D329" s="241" t="str">
        <f t="shared" si="5"/>
        <v>B1 - 707 x 1000 mm</v>
      </c>
      <c r="E329" s="242">
        <f>707*1000</f>
        <v>707000</v>
      </c>
      <c r="F329" s="242">
        <f t="shared" si="6"/>
        <v>0.70699999999999996</v>
      </c>
      <c r="G329" s="363"/>
      <c r="H329" s="363"/>
      <c r="I329" s="363"/>
      <c r="J329" s="363"/>
      <c r="K329" s="363"/>
      <c r="L329" s="363"/>
      <c r="M329" s="363"/>
      <c r="N329" s="363"/>
      <c r="O329" s="363"/>
    </row>
    <row r="330" spans="1:15">
      <c r="A330" s="363"/>
      <c r="B330" s="241" t="s">
        <v>492</v>
      </c>
      <c r="C330" s="241" t="s">
        <v>493</v>
      </c>
      <c r="D330" s="241" t="str">
        <f t="shared" si="5"/>
        <v>B2 - 500 x 707 mm</v>
      </c>
      <c r="E330" s="242">
        <f>500*707</f>
        <v>353500</v>
      </c>
      <c r="F330" s="242">
        <f t="shared" si="6"/>
        <v>0.35349999999999998</v>
      </c>
      <c r="G330" s="363"/>
      <c r="H330" s="363"/>
      <c r="I330" s="363"/>
      <c r="J330" s="363"/>
      <c r="K330" s="363"/>
      <c r="L330" s="363"/>
      <c r="M330" s="363"/>
      <c r="N330" s="363"/>
      <c r="O330" s="363"/>
    </row>
    <row r="331" spans="1:15">
      <c r="A331" s="363"/>
      <c r="B331" s="241" t="s">
        <v>494</v>
      </c>
      <c r="C331" s="241" t="s">
        <v>495</v>
      </c>
      <c r="D331" s="241" t="str">
        <f t="shared" si="5"/>
        <v>B3 - 353 x 500 mm</v>
      </c>
      <c r="E331" s="242">
        <f>353*500</f>
        <v>176500</v>
      </c>
      <c r="F331" s="242">
        <f t="shared" si="6"/>
        <v>0.17649999999999999</v>
      </c>
      <c r="G331" s="363"/>
      <c r="H331" s="363"/>
      <c r="I331" s="363"/>
      <c r="J331" s="363"/>
      <c r="K331" s="363"/>
      <c r="L331" s="363"/>
      <c r="M331" s="363"/>
      <c r="N331" s="363"/>
      <c r="O331" s="363"/>
    </row>
    <row r="332" spans="1:15">
      <c r="A332" s="363"/>
      <c r="B332" s="241" t="s">
        <v>496</v>
      </c>
      <c r="C332" s="241" t="s">
        <v>497</v>
      </c>
      <c r="D332" s="241" t="str">
        <f t="shared" si="5"/>
        <v>B4 - 250 x 353 mm</v>
      </c>
      <c r="E332" s="242">
        <f>250*353</f>
        <v>88250</v>
      </c>
      <c r="F332" s="273">
        <f t="shared" si="6"/>
        <v>8.8249999999999995E-2</v>
      </c>
      <c r="G332" s="363"/>
      <c r="H332" s="363"/>
      <c r="I332" s="363"/>
      <c r="J332" s="363"/>
      <c r="K332" s="363"/>
      <c r="L332" s="363"/>
      <c r="M332" s="363"/>
      <c r="N332" s="363"/>
      <c r="O332" s="363"/>
    </row>
    <row r="333" spans="1:15">
      <c r="A333" s="363"/>
      <c r="B333" s="241" t="s">
        <v>498</v>
      </c>
      <c r="C333" s="241" t="s">
        <v>499</v>
      </c>
      <c r="D333" s="241" t="str">
        <f t="shared" si="5"/>
        <v>B5 - 176 x 250 mm</v>
      </c>
      <c r="E333" s="242">
        <f>176*250</f>
        <v>44000</v>
      </c>
      <c r="F333" s="273">
        <f t="shared" si="6"/>
        <v>4.3999999999999997E-2</v>
      </c>
      <c r="G333" s="363"/>
      <c r="H333" s="363"/>
      <c r="I333" s="363"/>
      <c r="J333" s="363"/>
      <c r="K333" s="363"/>
      <c r="L333" s="363"/>
      <c r="M333" s="363"/>
      <c r="N333" s="363"/>
      <c r="O333" s="363"/>
    </row>
    <row r="334" spans="1:15">
      <c r="A334" s="363"/>
      <c r="B334" s="241" t="s">
        <v>500</v>
      </c>
      <c r="C334" s="241" t="s">
        <v>501</v>
      </c>
      <c r="D334" s="241" t="str">
        <f t="shared" si="5"/>
        <v>B6 - 125 x 176 mm</v>
      </c>
      <c r="E334" s="242">
        <f>125*176</f>
        <v>22000</v>
      </c>
      <c r="F334" s="273">
        <f t="shared" si="6"/>
        <v>2.1999999999999999E-2</v>
      </c>
      <c r="G334" s="363"/>
      <c r="H334" s="363"/>
      <c r="I334" s="363"/>
      <c r="J334" s="363"/>
      <c r="K334" s="363"/>
      <c r="L334" s="363"/>
      <c r="M334" s="363"/>
      <c r="N334" s="363"/>
      <c r="O334" s="363"/>
    </row>
    <row r="335" spans="1:15">
      <c r="A335" s="363"/>
      <c r="B335" s="241" t="s">
        <v>502</v>
      </c>
      <c r="C335" s="241" t="s">
        <v>503</v>
      </c>
      <c r="D335" s="241" t="str">
        <f t="shared" si="5"/>
        <v>B7 - 88 x 125 mm</v>
      </c>
      <c r="E335" s="242">
        <f>88*125</f>
        <v>11000</v>
      </c>
      <c r="F335" s="273">
        <f t="shared" si="6"/>
        <v>1.0999999999999999E-2</v>
      </c>
      <c r="G335" s="363"/>
      <c r="H335" s="363"/>
      <c r="I335" s="363"/>
      <c r="J335" s="363"/>
      <c r="K335" s="363"/>
      <c r="L335" s="363"/>
      <c r="M335" s="363"/>
      <c r="N335" s="363"/>
      <c r="O335" s="363"/>
    </row>
    <row r="336" spans="1:15">
      <c r="A336" s="363"/>
      <c r="B336" s="241" t="s">
        <v>504</v>
      </c>
      <c r="C336" s="241" t="s">
        <v>505</v>
      </c>
      <c r="D336" s="241" t="str">
        <f t="shared" si="5"/>
        <v>B8 - 62 x 88 mm</v>
      </c>
      <c r="E336" s="242">
        <f>62*88</f>
        <v>5456</v>
      </c>
      <c r="F336" s="273">
        <f t="shared" si="6"/>
        <v>5.4559999999999999E-3</v>
      </c>
      <c r="G336" s="363"/>
      <c r="H336" s="363"/>
      <c r="I336" s="363"/>
      <c r="J336" s="363"/>
      <c r="K336" s="363"/>
      <c r="L336" s="363"/>
      <c r="M336" s="363"/>
      <c r="N336" s="363"/>
      <c r="O336" s="363"/>
    </row>
    <row r="337" spans="1:15">
      <c r="A337" s="363"/>
      <c r="B337" s="241" t="s">
        <v>506</v>
      </c>
      <c r="C337" s="241" t="s">
        <v>507</v>
      </c>
      <c r="D337" s="241" t="str">
        <f t="shared" si="5"/>
        <v>B9 - 44 x 62 mm</v>
      </c>
      <c r="E337" s="242">
        <f>44*62</f>
        <v>2728</v>
      </c>
      <c r="F337" s="273">
        <f t="shared" si="6"/>
        <v>2.728E-3</v>
      </c>
      <c r="G337" s="363"/>
      <c r="H337" s="363"/>
      <c r="I337" s="363"/>
      <c r="J337" s="363"/>
      <c r="K337" s="363"/>
      <c r="L337" s="363"/>
      <c r="M337" s="363"/>
      <c r="N337" s="363"/>
      <c r="O337" s="363"/>
    </row>
    <row r="338" spans="1:15" s="260" customFormat="1">
      <c r="A338" s="367"/>
      <c r="B338" s="241" t="s">
        <v>508</v>
      </c>
      <c r="C338" s="241" t="s">
        <v>509</v>
      </c>
      <c r="D338" s="241" t="str">
        <f t="shared" si="5"/>
        <v>B10 - 31 x 44 mm</v>
      </c>
      <c r="E338" s="242">
        <f>31*44</f>
        <v>1364</v>
      </c>
      <c r="F338" s="273">
        <f t="shared" si="6"/>
        <v>1.364E-3</v>
      </c>
      <c r="G338" s="367"/>
      <c r="H338" s="367"/>
      <c r="I338" s="367"/>
      <c r="J338" s="367"/>
      <c r="K338" s="367"/>
      <c r="L338" s="367"/>
      <c r="M338" s="367"/>
      <c r="N338" s="367"/>
      <c r="O338" s="367"/>
    </row>
    <row r="339" spans="1:15">
      <c r="A339" s="363"/>
      <c r="B339" s="241" t="s">
        <v>510</v>
      </c>
      <c r="C339" s="241" t="s">
        <v>511</v>
      </c>
      <c r="D339" s="241" t="str">
        <f t="shared" si="5"/>
        <v>C0 - 917 x 1297 mm</v>
      </c>
      <c r="E339" s="242">
        <f>917*1297</f>
        <v>1189349</v>
      </c>
      <c r="F339" s="242">
        <f t="shared" si="6"/>
        <v>1.189349</v>
      </c>
      <c r="G339" s="363"/>
      <c r="H339" s="363"/>
      <c r="I339" s="363"/>
      <c r="J339" s="363"/>
      <c r="K339" s="363"/>
      <c r="L339" s="363"/>
      <c r="M339" s="363"/>
      <c r="N339" s="363"/>
      <c r="O339" s="363"/>
    </row>
    <row r="340" spans="1:15">
      <c r="A340" s="363"/>
      <c r="B340" s="241" t="s">
        <v>512</v>
      </c>
      <c r="C340" s="241" t="s">
        <v>513</v>
      </c>
      <c r="D340" s="241" t="str">
        <f t="shared" si="5"/>
        <v>C1 - 648 X 917 mm</v>
      </c>
      <c r="E340" s="242">
        <f>648*917</f>
        <v>594216</v>
      </c>
      <c r="F340" s="242">
        <f t="shared" si="6"/>
        <v>0.59421599999999997</v>
      </c>
      <c r="G340" s="363"/>
      <c r="H340" s="363"/>
      <c r="I340" s="363"/>
      <c r="J340" s="363"/>
      <c r="K340" s="363"/>
      <c r="L340" s="363"/>
      <c r="M340" s="363"/>
      <c r="N340" s="363"/>
      <c r="O340" s="363"/>
    </row>
    <row r="341" spans="1:15">
      <c r="A341" s="363"/>
      <c r="B341" s="241" t="s">
        <v>514</v>
      </c>
      <c r="C341" s="241" t="s">
        <v>515</v>
      </c>
      <c r="D341" s="241" t="str">
        <f t="shared" si="5"/>
        <v>C2 - 458 x 648 mm</v>
      </c>
      <c r="E341" s="242">
        <f>458*648</f>
        <v>296784</v>
      </c>
      <c r="F341" s="242">
        <f t="shared" si="6"/>
        <v>0.29678399999999999</v>
      </c>
      <c r="G341" s="363"/>
      <c r="H341" s="363"/>
      <c r="I341" s="363"/>
      <c r="J341" s="363"/>
      <c r="K341" s="363"/>
      <c r="L341" s="363"/>
      <c r="M341" s="363"/>
      <c r="N341" s="363"/>
      <c r="O341" s="363"/>
    </row>
    <row r="342" spans="1:15">
      <c r="A342" s="363"/>
      <c r="B342" s="241" t="s">
        <v>516</v>
      </c>
      <c r="C342" s="241" t="s">
        <v>517</v>
      </c>
      <c r="D342" s="241" t="str">
        <f t="shared" si="5"/>
        <v>C3 - 324 x 458 mm</v>
      </c>
      <c r="E342" s="242">
        <f>324*458</f>
        <v>148392</v>
      </c>
      <c r="F342" s="242">
        <f t="shared" si="6"/>
        <v>0.148392</v>
      </c>
      <c r="G342" s="363"/>
      <c r="H342" s="363"/>
      <c r="I342" s="363"/>
      <c r="J342" s="363"/>
      <c r="K342" s="363"/>
      <c r="L342" s="363"/>
      <c r="M342" s="363"/>
      <c r="N342" s="363"/>
      <c r="O342" s="363"/>
    </row>
    <row r="343" spans="1:15">
      <c r="A343" s="363"/>
      <c r="B343" s="241" t="s">
        <v>518</v>
      </c>
      <c r="C343" s="241" t="s">
        <v>519</v>
      </c>
      <c r="D343" s="241" t="str">
        <f t="shared" si="5"/>
        <v>C4 - 229 x 324 mm</v>
      </c>
      <c r="E343" s="242">
        <f>229*324</f>
        <v>74196</v>
      </c>
      <c r="F343" s="273">
        <f t="shared" si="6"/>
        <v>7.4195999999999998E-2</v>
      </c>
      <c r="G343" s="363"/>
      <c r="H343" s="363"/>
      <c r="I343" s="363"/>
      <c r="J343" s="363"/>
      <c r="K343" s="363"/>
      <c r="L343" s="363"/>
      <c r="M343" s="363"/>
      <c r="N343" s="363"/>
      <c r="O343" s="363"/>
    </row>
    <row r="344" spans="1:15">
      <c r="A344" s="363"/>
      <c r="B344" s="241" t="s">
        <v>520</v>
      </c>
      <c r="C344" s="241" t="s">
        <v>521</v>
      </c>
      <c r="D344" s="241" t="str">
        <f t="shared" si="5"/>
        <v>C5 - 162 x 229 mm</v>
      </c>
      <c r="E344" s="242">
        <f>162*229</f>
        <v>37098</v>
      </c>
      <c r="F344" s="273">
        <f t="shared" si="6"/>
        <v>3.7097999999999999E-2</v>
      </c>
      <c r="G344" s="363"/>
      <c r="H344" s="363"/>
      <c r="I344" s="363"/>
      <c r="J344" s="363"/>
      <c r="K344" s="363"/>
      <c r="L344" s="363"/>
      <c r="M344" s="363"/>
      <c r="N344" s="363"/>
      <c r="O344" s="363"/>
    </row>
    <row r="345" spans="1:15">
      <c r="A345" s="363"/>
      <c r="B345" s="241" t="s">
        <v>522</v>
      </c>
      <c r="C345" s="241" t="s">
        <v>523</v>
      </c>
      <c r="D345" s="241" t="str">
        <f t="shared" si="5"/>
        <v>C6 - 114 x 162 mm</v>
      </c>
      <c r="E345" s="242">
        <f>114*162</f>
        <v>18468</v>
      </c>
      <c r="F345" s="273">
        <f t="shared" si="6"/>
        <v>1.8467999999999998E-2</v>
      </c>
      <c r="G345" s="363"/>
      <c r="H345" s="363"/>
      <c r="I345" s="363"/>
      <c r="J345" s="363"/>
      <c r="K345" s="363"/>
      <c r="L345" s="363"/>
      <c r="M345" s="363"/>
      <c r="N345" s="363"/>
      <c r="O345" s="363"/>
    </row>
    <row r="346" spans="1:15">
      <c r="A346" s="363"/>
      <c r="B346" s="241" t="s">
        <v>524</v>
      </c>
      <c r="C346" s="241" t="s">
        <v>525</v>
      </c>
      <c r="D346" s="241" t="str">
        <f t="shared" si="5"/>
        <v>C7 - 81 x 114 mm</v>
      </c>
      <c r="E346" s="242">
        <f>81*114</f>
        <v>9234</v>
      </c>
      <c r="F346" s="273">
        <f t="shared" si="6"/>
        <v>9.2339999999999992E-3</v>
      </c>
      <c r="G346" s="363"/>
      <c r="H346" s="363"/>
      <c r="I346" s="363"/>
      <c r="J346" s="363"/>
      <c r="K346" s="363"/>
      <c r="L346" s="363"/>
      <c r="M346" s="363"/>
      <c r="N346" s="363"/>
      <c r="O346" s="363"/>
    </row>
    <row r="347" spans="1:15">
      <c r="A347" s="363"/>
      <c r="B347" s="241" t="s">
        <v>526</v>
      </c>
      <c r="C347" s="241" t="s">
        <v>527</v>
      </c>
      <c r="D347" s="241" t="str">
        <f t="shared" si="5"/>
        <v>C8 - 57 x 81 mm</v>
      </c>
      <c r="E347" s="242">
        <f>57*81</f>
        <v>4617</v>
      </c>
      <c r="F347" s="273">
        <f t="shared" si="6"/>
        <v>4.6169999999999996E-3</v>
      </c>
      <c r="G347" s="363"/>
      <c r="H347" s="363"/>
      <c r="I347" s="363"/>
      <c r="J347" s="363"/>
      <c r="K347" s="363"/>
      <c r="L347" s="363"/>
      <c r="M347" s="363"/>
      <c r="N347" s="363"/>
      <c r="O347" s="363"/>
    </row>
    <row r="348" spans="1:15">
      <c r="A348" s="363"/>
      <c r="B348" s="241" t="s">
        <v>528</v>
      </c>
      <c r="C348" s="241" t="s">
        <v>529</v>
      </c>
      <c r="D348" s="241" t="str">
        <f t="shared" si="5"/>
        <v>C9 - 40 x 57 mm</v>
      </c>
      <c r="E348" s="242">
        <f>40*57</f>
        <v>2280</v>
      </c>
      <c r="F348" s="273">
        <f t="shared" si="6"/>
        <v>2.2799999999999999E-3</v>
      </c>
      <c r="G348" s="363"/>
      <c r="H348" s="363"/>
      <c r="I348" s="363"/>
      <c r="J348" s="363"/>
      <c r="K348" s="363"/>
      <c r="L348" s="363"/>
      <c r="M348" s="363"/>
      <c r="N348" s="363"/>
      <c r="O348" s="363"/>
    </row>
    <row r="349" spans="1:15">
      <c r="A349" s="363"/>
      <c r="B349" s="241" t="s">
        <v>530</v>
      </c>
      <c r="C349" s="241" t="s">
        <v>531</v>
      </c>
      <c r="D349" s="241" t="str">
        <f t="shared" si="5"/>
        <v>C10 - 28 x 40 mm</v>
      </c>
      <c r="E349" s="242">
        <f>28*40</f>
        <v>1120</v>
      </c>
      <c r="F349" s="273">
        <f t="shared" si="6"/>
        <v>1.1199999999999999E-3</v>
      </c>
      <c r="G349" s="363"/>
      <c r="H349" s="363"/>
      <c r="I349" s="363"/>
      <c r="J349" s="363"/>
      <c r="K349" s="363"/>
      <c r="L349" s="363"/>
      <c r="M349" s="363"/>
      <c r="N349" s="363"/>
      <c r="O349" s="363"/>
    </row>
    <row r="350" spans="1:15">
      <c r="A350" s="363"/>
      <c r="B350" s="363"/>
      <c r="C350" s="364"/>
      <c r="D350" s="363"/>
      <c r="E350" s="363"/>
      <c r="F350" s="363"/>
      <c r="G350" s="363"/>
      <c r="H350" s="363"/>
      <c r="I350" s="363"/>
      <c r="J350" s="363"/>
      <c r="K350" s="363"/>
      <c r="L350" s="363"/>
      <c r="M350" s="363"/>
      <c r="N350" s="363"/>
      <c r="O350" s="363"/>
    </row>
    <row r="351" spans="1:15">
      <c r="A351" s="363"/>
      <c r="B351" s="271" t="s">
        <v>532</v>
      </c>
      <c r="C351" s="265" t="s">
        <v>209</v>
      </c>
      <c r="D351" s="265" t="s">
        <v>166</v>
      </c>
      <c r="E351" s="265" t="s">
        <v>210</v>
      </c>
      <c r="F351" s="363"/>
      <c r="G351" s="363"/>
      <c r="H351" s="363"/>
      <c r="I351" s="363"/>
      <c r="J351" s="363"/>
      <c r="K351" s="363"/>
      <c r="L351" s="363"/>
      <c r="M351" s="363"/>
      <c r="N351" s="363"/>
      <c r="O351" s="363"/>
    </row>
    <row r="352" spans="1:15">
      <c r="A352" s="363"/>
      <c r="B352" s="241" t="s">
        <v>533</v>
      </c>
      <c r="C352" s="2">
        <v>0.91900000000000004</v>
      </c>
      <c r="D352" s="267" t="s">
        <v>305</v>
      </c>
      <c r="E352" s="267" t="s">
        <v>229</v>
      </c>
      <c r="F352" s="363"/>
      <c r="G352" s="363"/>
      <c r="H352" s="363"/>
      <c r="I352" s="363"/>
      <c r="J352" s="363"/>
      <c r="K352" s="363"/>
      <c r="L352" s="363"/>
      <c r="M352" s="363"/>
      <c r="N352" s="363"/>
      <c r="O352" s="363"/>
    </row>
    <row r="353" spans="1:15">
      <c r="A353" s="363"/>
      <c r="B353" s="363"/>
      <c r="C353" s="363"/>
      <c r="D353" s="363"/>
      <c r="E353" s="363"/>
      <c r="F353" s="363"/>
      <c r="G353" s="363"/>
      <c r="H353" s="363"/>
      <c r="I353" s="363"/>
      <c r="J353" s="363"/>
      <c r="K353" s="363"/>
      <c r="L353" s="363"/>
      <c r="M353" s="363"/>
      <c r="N353" s="363"/>
      <c r="O353" s="363"/>
    </row>
    <row r="354" spans="1:15">
      <c r="A354" s="346" t="s">
        <v>3475</v>
      </c>
      <c r="B354" s="271" t="s">
        <v>534</v>
      </c>
      <c r="C354" s="265" t="s">
        <v>209</v>
      </c>
      <c r="D354" s="265" t="s">
        <v>166</v>
      </c>
      <c r="E354" s="265" t="s">
        <v>210</v>
      </c>
      <c r="F354" s="265" t="s">
        <v>210</v>
      </c>
      <c r="G354" s="363"/>
      <c r="H354" s="363"/>
      <c r="I354" s="363"/>
      <c r="J354" s="363"/>
      <c r="K354" s="363"/>
      <c r="L354" s="363"/>
      <c r="M354" s="363"/>
      <c r="N354" s="363"/>
      <c r="O354" s="363"/>
    </row>
    <row r="355" spans="1:15" ht="14.5">
      <c r="A355" s="363"/>
      <c r="B355" s="241" t="str">
        <f>B354</f>
        <v>Prestations d'impression</v>
      </c>
      <c r="C355" s="2">
        <v>350</v>
      </c>
      <c r="D355" s="267" t="s">
        <v>274</v>
      </c>
      <c r="E355" t="s">
        <v>3643</v>
      </c>
      <c r="F355" s="363" t="s">
        <v>3567</v>
      </c>
      <c r="G355" s="363"/>
      <c r="H355" s="363"/>
      <c r="I355" s="363"/>
      <c r="J355" s="363"/>
      <c r="K355" s="363"/>
      <c r="L355" s="363"/>
      <c r="M355" s="363"/>
      <c r="N355" s="363"/>
      <c r="O355" s="363"/>
    </row>
    <row r="356" spans="1:15">
      <c r="A356" s="363"/>
      <c r="B356" s="363"/>
      <c r="C356" s="364"/>
      <c r="D356" s="363"/>
      <c r="E356" s="363"/>
      <c r="F356" s="363"/>
      <c r="G356" s="363"/>
      <c r="H356" s="363"/>
      <c r="I356" s="363"/>
      <c r="J356" s="363"/>
      <c r="K356" s="363"/>
      <c r="L356" s="363"/>
      <c r="M356" s="363"/>
      <c r="N356" s="363"/>
      <c r="O356" s="363"/>
    </row>
    <row r="357" spans="1:15">
      <c r="A357" s="363"/>
      <c r="B357" s="271" t="s">
        <v>158</v>
      </c>
      <c r="C357" s="265" t="s">
        <v>209</v>
      </c>
      <c r="D357" s="265" t="s">
        <v>166</v>
      </c>
      <c r="E357" s="265" t="s">
        <v>210</v>
      </c>
      <c r="F357" s="363"/>
      <c r="G357" s="363"/>
      <c r="H357" s="363"/>
      <c r="I357" s="363"/>
      <c r="J357" s="363"/>
      <c r="K357" s="363"/>
      <c r="L357" s="363"/>
      <c r="M357" s="363"/>
      <c r="N357" s="363"/>
      <c r="O357" s="363"/>
    </row>
    <row r="358" spans="1:15">
      <c r="A358" s="363"/>
      <c r="B358" s="241" t="s">
        <v>535</v>
      </c>
      <c r="C358" s="2">
        <v>0.2</v>
      </c>
      <c r="D358" s="267" t="s">
        <v>536</v>
      </c>
      <c r="E358" s="267" t="s">
        <v>537</v>
      </c>
      <c r="F358" s="363"/>
      <c r="G358" s="363"/>
      <c r="H358" s="363"/>
      <c r="I358" s="363"/>
      <c r="J358" s="363"/>
      <c r="K358" s="363"/>
      <c r="L358" s="363"/>
      <c r="M358" s="363"/>
      <c r="N358" s="363"/>
      <c r="O358" s="363"/>
    </row>
    <row r="359" spans="1:15">
      <c r="A359" s="363"/>
      <c r="B359" s="241" t="s">
        <v>538</v>
      </c>
      <c r="C359" s="2">
        <v>4.2000000000000003E-2</v>
      </c>
      <c r="D359" s="267" t="s">
        <v>536</v>
      </c>
      <c r="E359" s="267" t="s">
        <v>539</v>
      </c>
      <c r="F359" s="363"/>
      <c r="G359" s="363"/>
      <c r="H359" s="363"/>
      <c r="I359" s="363"/>
      <c r="J359" s="363"/>
      <c r="K359" s="363"/>
      <c r="L359" s="363"/>
      <c r="M359" s="363"/>
      <c r="N359" s="363"/>
      <c r="O359" s="363"/>
    </row>
    <row r="360" spans="1:15">
      <c r="A360" s="363"/>
      <c r="B360" s="241" t="s">
        <v>540</v>
      </c>
      <c r="C360" s="2">
        <v>0.23</v>
      </c>
      <c r="D360" s="267" t="s">
        <v>536</v>
      </c>
      <c r="E360" s="267" t="s">
        <v>541</v>
      </c>
      <c r="F360" s="363"/>
      <c r="G360" s="363"/>
      <c r="H360" s="363"/>
      <c r="I360" s="363"/>
      <c r="J360" s="363"/>
      <c r="K360" s="363"/>
      <c r="L360" s="363"/>
      <c r="M360" s="363"/>
      <c r="N360" s="363"/>
      <c r="O360" s="363"/>
    </row>
    <row r="361" spans="1:15">
      <c r="A361" s="363"/>
      <c r="B361" s="241" t="s">
        <v>535</v>
      </c>
      <c r="C361" s="242">
        <f>C358/(100*$F$321)</f>
        <v>3.2066698733365408E-2</v>
      </c>
      <c r="D361" s="267" t="s">
        <v>33</v>
      </c>
      <c r="E361" s="365"/>
      <c r="F361" s="363"/>
      <c r="G361" s="363"/>
      <c r="H361" s="363"/>
      <c r="I361" s="363"/>
      <c r="J361" s="363"/>
      <c r="K361" s="363"/>
      <c r="L361" s="363"/>
      <c r="M361" s="363"/>
      <c r="N361" s="363"/>
      <c r="O361" s="363"/>
    </row>
    <row r="362" spans="1:15">
      <c r="A362" s="363"/>
      <c r="B362" s="241" t="s">
        <v>538</v>
      </c>
      <c r="C362" s="242">
        <f>C359/(100*$F$321)</f>
        <v>6.7340067340067354E-3</v>
      </c>
      <c r="D362" s="267" t="s">
        <v>33</v>
      </c>
      <c r="E362" s="365"/>
      <c r="F362" s="363"/>
      <c r="G362" s="363"/>
      <c r="H362" s="363"/>
      <c r="I362" s="363"/>
      <c r="J362" s="363"/>
      <c r="K362" s="363"/>
      <c r="L362" s="363"/>
      <c r="M362" s="363"/>
      <c r="N362" s="363"/>
      <c r="O362" s="363"/>
    </row>
    <row r="363" spans="1:15">
      <c r="A363" s="363"/>
      <c r="B363" s="241" t="s">
        <v>540</v>
      </c>
      <c r="C363" s="242">
        <f>C360/(100*$F$321)</f>
        <v>3.6876703543370214E-2</v>
      </c>
      <c r="D363" s="267" t="s">
        <v>33</v>
      </c>
      <c r="E363" s="365"/>
      <c r="F363" s="363"/>
      <c r="G363" s="363"/>
      <c r="H363" s="363"/>
      <c r="I363" s="363"/>
      <c r="J363" s="363"/>
      <c r="K363" s="363"/>
      <c r="L363" s="363"/>
      <c r="M363" s="363"/>
      <c r="N363" s="363"/>
      <c r="O363" s="363"/>
    </row>
    <row r="364" spans="1:15">
      <c r="A364" s="363"/>
      <c r="B364" s="241" t="s">
        <v>542</v>
      </c>
      <c r="C364" s="242">
        <f>AVERAGE(C361:C363)</f>
        <v>2.5225803003580783E-2</v>
      </c>
      <c r="D364" s="267" t="s">
        <v>33</v>
      </c>
      <c r="E364" s="365"/>
      <c r="F364" s="363"/>
      <c r="G364" s="363"/>
      <c r="H364" s="363"/>
      <c r="I364" s="363"/>
      <c r="J364" s="363"/>
      <c r="K364" s="363"/>
      <c r="L364" s="363"/>
      <c r="M364" s="363"/>
      <c r="N364" s="363"/>
      <c r="O364" s="363"/>
    </row>
    <row r="365" spans="1:15">
      <c r="A365" s="363"/>
      <c r="B365" s="363"/>
      <c r="C365" s="363"/>
      <c r="D365" s="363"/>
      <c r="E365" s="363"/>
      <c r="F365" s="363"/>
      <c r="G365" s="363"/>
      <c r="H365" s="363"/>
      <c r="I365" s="363"/>
      <c r="J365" s="363"/>
      <c r="K365" s="363"/>
      <c r="L365" s="363"/>
      <c r="M365" s="363"/>
      <c r="N365" s="363"/>
      <c r="O365" s="363"/>
    </row>
    <row r="366" spans="1:15">
      <c r="A366" s="363"/>
      <c r="B366" s="271" t="s">
        <v>532</v>
      </c>
      <c r="C366" s="265" t="s">
        <v>209</v>
      </c>
      <c r="D366" s="265" t="s">
        <v>166</v>
      </c>
      <c r="E366" s="265" t="s">
        <v>210</v>
      </c>
      <c r="F366" s="363"/>
      <c r="G366" s="363"/>
      <c r="H366" s="363"/>
      <c r="I366" s="363"/>
      <c r="J366" s="363"/>
      <c r="K366" s="363"/>
      <c r="L366" s="363"/>
      <c r="M366" s="363"/>
      <c r="N366" s="363"/>
      <c r="O366" s="363"/>
    </row>
    <row r="367" spans="1:15">
      <c r="A367" s="363"/>
      <c r="B367" s="241" t="s">
        <v>533</v>
      </c>
      <c r="C367" s="2">
        <v>0.91900000000000004</v>
      </c>
      <c r="D367" s="267" t="s">
        <v>305</v>
      </c>
      <c r="E367" s="267" t="s">
        <v>229</v>
      </c>
      <c r="F367" s="363"/>
      <c r="G367" s="363"/>
      <c r="H367" s="363"/>
      <c r="I367" s="363"/>
      <c r="J367" s="363"/>
      <c r="K367" s="363"/>
      <c r="L367" s="363"/>
      <c r="M367" s="363"/>
      <c r="N367" s="363"/>
      <c r="O367" s="363"/>
    </row>
    <row r="368" spans="1:15">
      <c r="A368" s="363"/>
      <c r="B368" s="241" t="s">
        <v>543</v>
      </c>
      <c r="C368" s="2">
        <v>43.1</v>
      </c>
      <c r="D368" s="267" t="s">
        <v>213</v>
      </c>
      <c r="E368" s="267" t="s">
        <v>229</v>
      </c>
      <c r="F368" s="363"/>
      <c r="G368" s="363"/>
      <c r="H368" s="363"/>
      <c r="I368" s="363"/>
      <c r="J368" s="363"/>
      <c r="K368" s="363"/>
      <c r="L368" s="363"/>
      <c r="M368" s="363"/>
      <c r="N368" s="363"/>
      <c r="O368" s="363"/>
    </row>
    <row r="369" spans="1:15">
      <c r="A369" s="363"/>
      <c r="B369" s="363"/>
      <c r="C369" s="363"/>
      <c r="D369" s="363"/>
      <c r="E369" s="363"/>
      <c r="F369" s="363"/>
      <c r="G369" s="363"/>
      <c r="H369" s="363"/>
      <c r="I369" s="363"/>
      <c r="J369" s="363"/>
      <c r="K369" s="363"/>
      <c r="L369" s="363"/>
      <c r="M369" s="363"/>
      <c r="N369" s="363"/>
      <c r="O369" s="363"/>
    </row>
    <row r="370" spans="1:15">
      <c r="A370" s="346" t="s">
        <v>3476</v>
      </c>
      <c r="B370" s="271" t="s">
        <v>72</v>
      </c>
      <c r="C370" s="265" t="s">
        <v>209</v>
      </c>
      <c r="D370" s="265" t="s">
        <v>166</v>
      </c>
      <c r="E370" s="265" t="s">
        <v>210</v>
      </c>
      <c r="F370" s="363"/>
      <c r="G370" s="363"/>
      <c r="H370" s="363"/>
      <c r="I370" s="363"/>
      <c r="J370" s="363"/>
      <c r="K370" s="363"/>
      <c r="L370" s="363"/>
      <c r="M370" s="363"/>
      <c r="N370" s="363"/>
      <c r="O370" s="363"/>
    </row>
    <row r="371" spans="1:15">
      <c r="A371" s="363"/>
      <c r="B371" s="241" t="s">
        <v>544</v>
      </c>
      <c r="C371" s="2">
        <f>C386</f>
        <v>0.24942291666666672</v>
      </c>
      <c r="D371" s="267" t="s">
        <v>545</v>
      </c>
      <c r="E371" s="267" t="s">
        <v>546</v>
      </c>
      <c r="F371" s="363"/>
      <c r="G371" s="363"/>
      <c r="H371" s="363"/>
      <c r="I371" s="363"/>
      <c r="J371" s="363"/>
      <c r="K371" s="363"/>
      <c r="L371" s="363"/>
      <c r="M371" s="363"/>
      <c r="N371" s="363"/>
      <c r="O371" s="363"/>
    </row>
    <row r="372" spans="1:15">
      <c r="A372" s="363"/>
      <c r="B372" s="241" t="s">
        <v>547</v>
      </c>
      <c r="C372" s="2">
        <v>1.01</v>
      </c>
      <c r="D372" s="267" t="s">
        <v>545</v>
      </c>
      <c r="E372" s="267" t="s">
        <v>548</v>
      </c>
      <c r="F372" s="363"/>
      <c r="G372" s="363"/>
      <c r="H372" s="363"/>
      <c r="I372" s="363"/>
      <c r="J372" s="363"/>
      <c r="K372" s="363"/>
      <c r="L372" s="363"/>
      <c r="M372" s="363"/>
      <c r="N372" s="363"/>
      <c r="O372" s="363"/>
    </row>
    <row r="373" spans="1:15">
      <c r="A373" s="363"/>
      <c r="B373" s="241" t="s">
        <v>549</v>
      </c>
      <c r="C373" s="2">
        <v>0.68200000000000005</v>
      </c>
      <c r="D373" s="267" t="s">
        <v>545</v>
      </c>
      <c r="E373" s="267" t="s">
        <v>550</v>
      </c>
      <c r="F373" s="363"/>
      <c r="G373" s="363"/>
      <c r="H373" s="363"/>
      <c r="I373" s="363"/>
      <c r="J373" s="363"/>
      <c r="K373" s="363"/>
      <c r="L373" s="363"/>
      <c r="M373" s="363"/>
      <c r="N373" s="363"/>
      <c r="O373" s="363"/>
    </row>
    <row r="374" spans="1:15">
      <c r="A374" s="363"/>
      <c r="B374" s="241" t="s">
        <v>551</v>
      </c>
      <c r="C374" s="2">
        <v>0.62</v>
      </c>
      <c r="D374" s="267" t="s">
        <v>545</v>
      </c>
      <c r="E374" s="267" t="s">
        <v>552</v>
      </c>
      <c r="F374" s="363"/>
      <c r="G374" s="363"/>
      <c r="H374" s="363"/>
      <c r="I374" s="363"/>
      <c r="J374" s="363"/>
      <c r="K374" s="363"/>
      <c r="L374" s="363"/>
      <c r="M374" s="363"/>
      <c r="N374" s="363"/>
      <c r="O374" s="363"/>
    </row>
    <row r="375" spans="1:15">
      <c r="A375" s="363"/>
      <c r="B375" s="241" t="s">
        <v>553</v>
      </c>
      <c r="C375" s="2">
        <v>0.66</v>
      </c>
      <c r="D375" s="267" t="s">
        <v>545</v>
      </c>
      <c r="E375" s="267" t="s">
        <v>554</v>
      </c>
      <c r="F375" s="363"/>
      <c r="G375" s="363"/>
      <c r="H375" s="363"/>
      <c r="I375" s="363"/>
      <c r="J375" s="363"/>
      <c r="K375" s="363"/>
      <c r="L375" s="363"/>
      <c r="M375" s="363"/>
      <c r="N375" s="363"/>
      <c r="O375" s="363"/>
    </row>
    <row r="376" spans="1:15">
      <c r="A376" s="363"/>
      <c r="B376" s="241" t="s">
        <v>555</v>
      </c>
      <c r="C376" s="2">
        <v>0.374</v>
      </c>
      <c r="D376" s="267" t="s">
        <v>545</v>
      </c>
      <c r="E376" s="267" t="s">
        <v>556</v>
      </c>
      <c r="F376" s="363"/>
      <c r="G376" s="363"/>
      <c r="H376" s="363"/>
      <c r="I376" s="363"/>
      <c r="J376" s="363"/>
      <c r="K376" s="363"/>
      <c r="L376" s="363"/>
      <c r="M376" s="363"/>
      <c r="N376" s="363"/>
      <c r="O376" s="363"/>
    </row>
    <row r="377" spans="1:15">
      <c r="A377" s="363"/>
      <c r="B377" s="241" t="s">
        <v>557</v>
      </c>
      <c r="C377" s="2">
        <v>0.14399999999999999</v>
      </c>
      <c r="D377" s="267" t="s">
        <v>545</v>
      </c>
      <c r="E377" s="267" t="s">
        <v>558</v>
      </c>
      <c r="F377" s="363"/>
      <c r="G377" s="363"/>
      <c r="H377" s="363"/>
      <c r="I377" s="363"/>
      <c r="J377" s="363"/>
      <c r="K377" s="363"/>
      <c r="L377" s="363"/>
      <c r="M377" s="363"/>
      <c r="N377" s="363"/>
      <c r="O377" s="363"/>
    </row>
    <row r="378" spans="1:15">
      <c r="A378" s="363"/>
      <c r="B378" s="241" t="s">
        <v>559</v>
      </c>
      <c r="C378" s="2">
        <v>0.35499999999999998</v>
      </c>
      <c r="D378" s="267" t="s">
        <v>545</v>
      </c>
      <c r="E378" s="267" t="s">
        <v>560</v>
      </c>
      <c r="F378" s="363"/>
      <c r="G378" s="363"/>
      <c r="H378" s="363"/>
      <c r="I378" s="363"/>
      <c r="J378" s="363"/>
      <c r="K378" s="363"/>
      <c r="L378" s="363"/>
      <c r="M378" s="363"/>
      <c r="N378" s="363"/>
      <c r="O378" s="363"/>
    </row>
    <row r="379" spans="1:15">
      <c r="A379" s="363"/>
      <c r="B379" s="241" t="s">
        <v>561</v>
      </c>
      <c r="C379" s="2">
        <f>(0.308+0.338)/2</f>
        <v>0.32300000000000001</v>
      </c>
      <c r="D379" s="267" t="s">
        <v>545</v>
      </c>
      <c r="E379" s="267" t="s">
        <v>562</v>
      </c>
      <c r="F379" s="363"/>
      <c r="G379" s="363"/>
      <c r="H379" s="363"/>
      <c r="I379" s="363"/>
      <c r="J379" s="363"/>
      <c r="K379" s="363"/>
      <c r="L379" s="363"/>
      <c r="M379" s="363"/>
      <c r="N379" s="363"/>
      <c r="O379" s="363"/>
    </row>
    <row r="380" spans="1:15">
      <c r="A380" s="363"/>
      <c r="B380" s="241" t="s">
        <v>95</v>
      </c>
      <c r="C380" s="2">
        <v>3.1</v>
      </c>
      <c r="D380" s="267" t="s">
        <v>545</v>
      </c>
      <c r="E380" s="267" t="s">
        <v>563</v>
      </c>
      <c r="F380" s="363"/>
      <c r="G380" s="363"/>
      <c r="H380" s="363"/>
      <c r="I380" s="363"/>
      <c r="J380" s="363"/>
      <c r="K380" s="363"/>
      <c r="L380" s="363"/>
      <c r="M380" s="363"/>
      <c r="N380" s="363"/>
      <c r="O380" s="363"/>
    </row>
    <row r="381" spans="1:15">
      <c r="A381" s="363"/>
      <c r="B381" s="278" t="s">
        <v>86</v>
      </c>
      <c r="C381" s="2">
        <v>0</v>
      </c>
      <c r="D381" s="267" t="s">
        <v>36</v>
      </c>
      <c r="E381" s="365"/>
      <c r="F381" s="363"/>
      <c r="G381" s="363"/>
      <c r="H381" s="363"/>
      <c r="I381" s="363"/>
      <c r="J381" s="363"/>
      <c r="K381" s="363"/>
      <c r="L381" s="363"/>
      <c r="M381" s="363"/>
      <c r="N381" s="363"/>
      <c r="O381" s="363"/>
    </row>
    <row r="382" spans="1:15">
      <c r="A382" s="363"/>
      <c r="B382" s="278" t="s">
        <v>85</v>
      </c>
      <c r="C382" s="1">
        <v>2.2300000000000002E-3</v>
      </c>
      <c r="D382" s="267" t="s">
        <v>36</v>
      </c>
      <c r="E382" s="267" t="s">
        <v>283</v>
      </c>
      <c r="F382" s="363"/>
      <c r="G382" s="363"/>
      <c r="H382" s="363"/>
      <c r="I382" s="363"/>
      <c r="J382" s="363"/>
      <c r="K382" s="363"/>
      <c r="L382" s="363"/>
      <c r="M382" s="363"/>
      <c r="N382" s="363"/>
      <c r="O382" s="363"/>
    </row>
    <row r="383" spans="1:15">
      <c r="A383" s="363"/>
      <c r="B383" s="241" t="s">
        <v>92</v>
      </c>
      <c r="C383" s="2">
        <v>6.5900000000000004E-3</v>
      </c>
      <c r="D383" s="267" t="s">
        <v>545</v>
      </c>
      <c r="E383" s="267" t="s">
        <v>564</v>
      </c>
      <c r="F383" s="363"/>
      <c r="G383" s="363"/>
      <c r="H383" s="363"/>
      <c r="I383" s="363"/>
      <c r="J383" s="363"/>
      <c r="K383" s="363"/>
      <c r="L383" s="363"/>
      <c r="M383" s="363"/>
      <c r="N383" s="363"/>
      <c r="O383" s="363"/>
    </row>
    <row r="384" spans="1:15">
      <c r="A384" s="363"/>
      <c r="B384" s="363"/>
      <c r="C384" s="364"/>
      <c r="D384" s="363"/>
      <c r="E384" s="363"/>
      <c r="F384" s="363"/>
      <c r="G384" s="363"/>
      <c r="H384" s="363"/>
      <c r="I384" s="363"/>
      <c r="J384" s="363"/>
      <c r="K384" s="363"/>
      <c r="L384" s="363"/>
      <c r="M384" s="363"/>
      <c r="N384" s="363"/>
      <c r="O384" s="363"/>
    </row>
    <row r="385" spans="1:15">
      <c r="A385" s="346" t="s">
        <v>3476</v>
      </c>
      <c r="B385" s="271" t="s">
        <v>72</v>
      </c>
      <c r="C385" s="364" t="s">
        <v>3904</v>
      </c>
      <c r="D385" s="363"/>
      <c r="E385" s="363"/>
      <c r="F385" s="364" t="s">
        <v>3905</v>
      </c>
      <c r="G385" s="363" t="s">
        <v>3906</v>
      </c>
      <c r="H385" s="363"/>
      <c r="I385" s="363"/>
      <c r="J385" s="363"/>
      <c r="K385" s="363"/>
      <c r="L385" s="363"/>
      <c r="M385" s="363"/>
      <c r="N385" s="363"/>
      <c r="O385" s="363"/>
    </row>
    <row r="386" spans="1:15" ht="14.5">
      <c r="A386" s="363"/>
      <c r="B386" s="241" t="s">
        <v>544</v>
      </c>
      <c r="C386" s="3">
        <f>AVERAGE(C387:C410)</f>
        <v>0.24942291666666672</v>
      </c>
      <c r="D386" s="267" t="s">
        <v>545</v>
      </c>
      <c r="E386" s="267" t="s">
        <v>548</v>
      </c>
      <c r="F386">
        <v>0.153</v>
      </c>
      <c r="G386" s="474">
        <f>C386+F386</f>
        <v>0.40242291666666674</v>
      </c>
      <c r="H386" s="363"/>
      <c r="I386" s="363"/>
      <c r="J386" s="363"/>
      <c r="K386" s="363"/>
      <c r="L386" s="363"/>
      <c r="M386" s="363"/>
      <c r="N386" s="363"/>
      <c r="O386" s="363"/>
    </row>
    <row r="387" spans="1:15" ht="14.5">
      <c r="A387" s="363"/>
      <c r="B387" s="241" t="s">
        <v>547</v>
      </c>
      <c r="C387" s="3">
        <v>1.01</v>
      </c>
      <c r="D387" s="267" t="s">
        <v>545</v>
      </c>
      <c r="E387" s="267" t="s">
        <v>548</v>
      </c>
      <c r="F387">
        <v>0.153</v>
      </c>
      <c r="G387" s="474">
        <f t="shared" ref="G387:G421" si="7">C387+F387</f>
        <v>1.163</v>
      </c>
      <c r="H387" s="363"/>
      <c r="I387" s="363"/>
      <c r="J387" s="363"/>
      <c r="K387" s="363"/>
      <c r="L387" s="363"/>
      <c r="M387" s="363"/>
      <c r="N387" s="363"/>
      <c r="O387" s="363"/>
    </row>
    <row r="388" spans="1:15" ht="14.5">
      <c r="A388" s="363"/>
      <c r="B388" s="241" t="s">
        <v>549</v>
      </c>
      <c r="C388" s="3">
        <v>0.68200000000000005</v>
      </c>
      <c r="D388" s="267" t="s">
        <v>545</v>
      </c>
      <c r="E388" s="267" t="s">
        <v>550</v>
      </c>
      <c r="F388">
        <v>0.153</v>
      </c>
      <c r="G388" s="474">
        <f t="shared" si="7"/>
        <v>0.83500000000000008</v>
      </c>
      <c r="H388" s="363"/>
      <c r="I388" s="363"/>
      <c r="J388" s="363"/>
      <c r="K388" s="363"/>
      <c r="L388" s="363"/>
      <c r="M388" s="363"/>
      <c r="N388" s="363"/>
      <c r="O388" s="363"/>
    </row>
    <row r="389" spans="1:15" ht="14.5">
      <c r="A389" s="363"/>
      <c r="B389" s="241" t="s">
        <v>551</v>
      </c>
      <c r="C389" s="3">
        <v>0.62</v>
      </c>
      <c r="D389" s="267" t="s">
        <v>545</v>
      </c>
      <c r="E389" s="267" t="s">
        <v>552</v>
      </c>
      <c r="F389">
        <v>0.153</v>
      </c>
      <c r="G389" s="474">
        <f t="shared" si="7"/>
        <v>0.77300000000000002</v>
      </c>
      <c r="H389" s="363"/>
      <c r="I389" s="363"/>
      <c r="J389" s="363"/>
      <c r="K389" s="363"/>
      <c r="L389" s="363"/>
      <c r="M389" s="363"/>
      <c r="N389" s="363"/>
      <c r="O389" s="363"/>
    </row>
    <row r="390" spans="1:15" ht="14.5">
      <c r="A390" s="363"/>
      <c r="B390" s="241" t="s">
        <v>553</v>
      </c>
      <c r="C390" s="3">
        <v>0.66</v>
      </c>
      <c r="D390" s="267" t="s">
        <v>545</v>
      </c>
      <c r="E390" s="267" t="s">
        <v>554</v>
      </c>
      <c r="F390">
        <v>0.153</v>
      </c>
      <c r="G390" s="474">
        <f t="shared" si="7"/>
        <v>0.81300000000000006</v>
      </c>
      <c r="H390" s="363"/>
      <c r="I390" s="363"/>
      <c r="J390" s="363"/>
      <c r="K390" s="363"/>
      <c r="L390" s="363"/>
      <c r="M390" s="363"/>
      <c r="N390" s="363"/>
      <c r="O390" s="363"/>
    </row>
    <row r="391" spans="1:15" ht="14.5">
      <c r="A391" s="363"/>
      <c r="B391" s="241" t="s">
        <v>565</v>
      </c>
      <c r="C391" s="3">
        <v>0.3659</v>
      </c>
      <c r="D391" s="267" t="s">
        <v>545</v>
      </c>
      <c r="E391" s="267" t="s">
        <v>566</v>
      </c>
      <c r="F391">
        <v>1.1299999999999999E-2</v>
      </c>
      <c r="G391" s="474">
        <f t="shared" si="7"/>
        <v>0.37719999999999998</v>
      </c>
      <c r="H391" s="363"/>
      <c r="I391" s="363"/>
      <c r="J391" s="363"/>
      <c r="K391" s="363"/>
      <c r="L391" s="363"/>
      <c r="M391" s="363"/>
      <c r="N391" s="363"/>
      <c r="O391" s="363"/>
    </row>
    <row r="392" spans="1:15" ht="14.5">
      <c r="A392" s="363"/>
      <c r="B392" s="241" t="s">
        <v>567</v>
      </c>
      <c r="C392" s="3">
        <v>4.6699999999999998E-2</v>
      </c>
      <c r="D392" s="267" t="s">
        <v>545</v>
      </c>
      <c r="E392" s="267" t="s">
        <v>566</v>
      </c>
      <c r="F392">
        <v>1.1299999999999999E-2</v>
      </c>
      <c r="G392" s="474">
        <f t="shared" si="7"/>
        <v>5.7999999999999996E-2</v>
      </c>
      <c r="H392" s="363"/>
      <c r="I392" s="363"/>
      <c r="J392" s="363"/>
      <c r="K392" s="363"/>
      <c r="L392" s="363"/>
      <c r="M392" s="363"/>
      <c r="N392" s="363"/>
      <c r="O392" s="363"/>
    </row>
    <row r="393" spans="1:15" ht="14.5">
      <c r="A393" s="363"/>
      <c r="B393" s="241" t="s">
        <v>568</v>
      </c>
      <c r="C393" s="3">
        <v>0.35499999999999998</v>
      </c>
      <c r="D393" s="267" t="s">
        <v>545</v>
      </c>
      <c r="E393" s="267" t="s">
        <v>566</v>
      </c>
      <c r="F393">
        <v>1.1299999999999999E-2</v>
      </c>
      <c r="G393" s="474">
        <f t="shared" si="7"/>
        <v>0.36629999999999996</v>
      </c>
      <c r="H393" s="363"/>
      <c r="I393" s="363"/>
      <c r="J393" s="363"/>
      <c r="K393" s="363"/>
      <c r="L393" s="363"/>
      <c r="M393" s="363"/>
      <c r="N393" s="363"/>
      <c r="O393" s="363"/>
    </row>
    <row r="394" spans="1:15" ht="14.5">
      <c r="A394" s="363"/>
      <c r="B394" s="241" t="s">
        <v>569</v>
      </c>
      <c r="C394" s="3">
        <v>0.27554999999999996</v>
      </c>
      <c r="D394" s="267" t="s">
        <v>545</v>
      </c>
      <c r="E394" s="267" t="s">
        <v>566</v>
      </c>
      <c r="F394">
        <v>1.1299999999999999E-2</v>
      </c>
      <c r="G394" s="474">
        <f t="shared" si="7"/>
        <v>0.28684999999999994</v>
      </c>
      <c r="H394" s="363"/>
      <c r="I394" s="363"/>
      <c r="J394" s="363"/>
      <c r="K394" s="363"/>
      <c r="L394" s="363"/>
      <c r="M394" s="363"/>
      <c r="N394" s="363"/>
      <c r="O394" s="363"/>
    </row>
    <row r="395" spans="1:15" ht="14.5">
      <c r="A395" s="363"/>
      <c r="B395" s="241" t="s">
        <v>570</v>
      </c>
      <c r="C395" s="3">
        <v>0.23149999999999998</v>
      </c>
      <c r="D395" s="267" t="s">
        <v>545</v>
      </c>
      <c r="E395" s="267" t="s">
        <v>566</v>
      </c>
      <c r="F395">
        <v>9.7000000000000003E-3</v>
      </c>
      <c r="G395" s="474">
        <f t="shared" si="7"/>
        <v>0.24119999999999997</v>
      </c>
      <c r="H395" s="363"/>
      <c r="I395" s="363"/>
      <c r="J395" s="363"/>
      <c r="K395" s="363"/>
      <c r="L395" s="363"/>
      <c r="M395" s="363"/>
      <c r="N395" s="363"/>
      <c r="O395" s="363"/>
    </row>
    <row r="396" spans="1:15" ht="14.5">
      <c r="A396" s="363"/>
      <c r="B396" s="241" t="s">
        <v>571</v>
      </c>
      <c r="C396" s="3">
        <v>0.218</v>
      </c>
      <c r="D396" s="267" t="s">
        <v>545</v>
      </c>
      <c r="E396" s="267" t="s">
        <v>566</v>
      </c>
      <c r="F396">
        <v>9.7000000000000003E-3</v>
      </c>
      <c r="G396" s="474">
        <f t="shared" si="7"/>
        <v>0.22770000000000001</v>
      </c>
      <c r="H396" s="363"/>
      <c r="I396" s="363"/>
      <c r="J396" s="363"/>
      <c r="K396" s="363"/>
      <c r="L396" s="363"/>
      <c r="M396" s="363"/>
      <c r="N396" s="363"/>
      <c r="O396" s="363"/>
    </row>
    <row r="397" spans="1:15" ht="14.5">
      <c r="A397" s="363"/>
      <c r="B397" s="241" t="s">
        <v>572</v>
      </c>
      <c r="C397" s="3">
        <v>0.14929999999999999</v>
      </c>
      <c r="D397" s="267" t="s">
        <v>545</v>
      </c>
      <c r="E397" s="267" t="s">
        <v>566</v>
      </c>
      <c r="F397">
        <v>1.0500000000000001E-2</v>
      </c>
      <c r="G397" s="474">
        <f t="shared" si="7"/>
        <v>0.1598</v>
      </c>
      <c r="H397" s="363"/>
      <c r="I397" s="363"/>
      <c r="J397" s="363"/>
      <c r="K397" s="363"/>
      <c r="L397" s="363"/>
      <c r="M397" s="363"/>
      <c r="N397" s="363"/>
      <c r="O397" s="363"/>
    </row>
    <row r="398" spans="1:15" ht="14.5">
      <c r="A398" s="363"/>
      <c r="B398" s="241" t="s">
        <v>573</v>
      </c>
      <c r="C398" s="3">
        <v>0.14500000000000002</v>
      </c>
      <c r="D398" s="267" t="s">
        <v>545</v>
      </c>
      <c r="E398" s="267" t="s">
        <v>566</v>
      </c>
      <c r="F398">
        <v>1.0500000000000001E-2</v>
      </c>
      <c r="G398" s="474">
        <f t="shared" si="7"/>
        <v>0.15550000000000003</v>
      </c>
      <c r="H398" s="363"/>
      <c r="I398" s="363"/>
      <c r="J398" s="363"/>
      <c r="K398" s="363"/>
      <c r="L398" s="363"/>
      <c r="M398" s="363"/>
      <c r="N398" s="363"/>
      <c r="O398" s="363"/>
    </row>
    <row r="399" spans="1:15" ht="14.5">
      <c r="A399" s="363"/>
      <c r="B399" s="241" t="s">
        <v>574</v>
      </c>
      <c r="C399" s="3">
        <v>0.17599999999999999</v>
      </c>
      <c r="D399" s="267" t="s">
        <v>545</v>
      </c>
      <c r="E399" s="267" t="s">
        <v>566</v>
      </c>
      <c r="F399">
        <v>1.0500000000000001E-2</v>
      </c>
      <c r="G399" s="474">
        <f t="shared" si="7"/>
        <v>0.1865</v>
      </c>
      <c r="H399" s="363"/>
      <c r="I399" s="363"/>
      <c r="J399" s="363"/>
      <c r="K399" s="363"/>
      <c r="L399" s="363"/>
      <c r="M399" s="363"/>
      <c r="N399" s="363"/>
      <c r="O399" s="363"/>
    </row>
    <row r="400" spans="1:15" ht="14.5">
      <c r="A400" s="363"/>
      <c r="B400" s="241" t="s">
        <v>575</v>
      </c>
      <c r="C400" s="3">
        <v>0.12329999999999999</v>
      </c>
      <c r="D400" s="267" t="s">
        <v>545</v>
      </c>
      <c r="E400" s="267" t="s">
        <v>566</v>
      </c>
      <c r="F400">
        <v>1.1299999999999999E-2</v>
      </c>
      <c r="G400" s="474">
        <f t="shared" si="7"/>
        <v>0.1346</v>
      </c>
      <c r="H400" s="363"/>
      <c r="I400" s="363"/>
      <c r="J400" s="363"/>
      <c r="K400" s="363"/>
      <c r="L400" s="363"/>
      <c r="M400" s="363"/>
      <c r="N400" s="363"/>
      <c r="O400" s="363"/>
    </row>
    <row r="401" spans="1:15" ht="14.5">
      <c r="A401" s="363"/>
      <c r="B401" s="241" t="s">
        <v>576</v>
      </c>
      <c r="C401" s="3">
        <v>0.13500000000000001</v>
      </c>
      <c r="D401" s="267" t="s">
        <v>545</v>
      </c>
      <c r="E401" s="267" t="s">
        <v>566</v>
      </c>
      <c r="F401">
        <v>1.1299999999999999E-2</v>
      </c>
      <c r="G401" s="474">
        <f t="shared" si="7"/>
        <v>0.14630000000000001</v>
      </c>
      <c r="H401" s="363"/>
      <c r="I401" s="363"/>
      <c r="J401" s="363"/>
      <c r="K401" s="363"/>
      <c r="L401" s="363"/>
      <c r="M401" s="363"/>
      <c r="N401" s="363"/>
      <c r="O401" s="363"/>
    </row>
    <row r="402" spans="1:15" ht="14.5">
      <c r="A402" s="363"/>
      <c r="B402" s="241" t="s">
        <v>577</v>
      </c>
      <c r="C402" s="3">
        <v>0.17600000000000002</v>
      </c>
      <c r="D402" s="267" t="s">
        <v>545</v>
      </c>
      <c r="E402" s="267" t="s">
        <v>566</v>
      </c>
      <c r="F402">
        <v>1.1299999999999999E-2</v>
      </c>
      <c r="G402" s="474">
        <f t="shared" si="7"/>
        <v>0.18730000000000002</v>
      </c>
      <c r="H402" s="363"/>
      <c r="I402" s="363"/>
      <c r="J402" s="363"/>
      <c r="K402" s="363"/>
      <c r="L402" s="363"/>
      <c r="M402" s="363"/>
      <c r="N402" s="363"/>
      <c r="O402" s="363"/>
    </row>
    <row r="403" spans="1:15" ht="14.5">
      <c r="A403" s="363"/>
      <c r="B403" s="241" t="s">
        <v>578</v>
      </c>
      <c r="C403" s="3">
        <v>9.8299999999999998E-2</v>
      </c>
      <c r="D403" s="267" t="s">
        <v>545</v>
      </c>
      <c r="E403" s="267" t="s">
        <v>566</v>
      </c>
      <c r="F403">
        <v>3.8E-3</v>
      </c>
      <c r="G403" s="474">
        <f t="shared" si="7"/>
        <v>0.1021</v>
      </c>
      <c r="H403" s="363"/>
      <c r="I403" s="363"/>
      <c r="J403" s="363"/>
      <c r="K403" s="363"/>
      <c r="L403" s="363"/>
      <c r="M403" s="363"/>
      <c r="N403" s="363"/>
      <c r="O403" s="363"/>
    </row>
    <row r="404" spans="1:15" ht="14.5">
      <c r="A404" s="363"/>
      <c r="B404" s="241" t="s">
        <v>579</v>
      </c>
      <c r="C404" s="3">
        <v>8.1600000000000006E-2</v>
      </c>
      <c r="D404" s="267" t="s">
        <v>545</v>
      </c>
      <c r="E404" s="267" t="s">
        <v>229</v>
      </c>
      <c r="F404">
        <v>3.7000000000000002E-3</v>
      </c>
      <c r="G404" s="474">
        <f t="shared" si="7"/>
        <v>8.5300000000000001E-2</v>
      </c>
      <c r="H404" s="363"/>
      <c r="I404" s="363"/>
      <c r="J404" s="363"/>
      <c r="K404" s="363"/>
      <c r="L404" s="363"/>
      <c r="M404" s="363"/>
      <c r="N404" s="363"/>
      <c r="O404" s="363"/>
    </row>
    <row r="405" spans="1:15" ht="14.5">
      <c r="A405" s="363"/>
      <c r="B405" s="241" t="s">
        <v>580</v>
      </c>
      <c r="C405" s="3">
        <v>7.85E-2</v>
      </c>
      <c r="D405" s="267" t="s">
        <v>545</v>
      </c>
      <c r="E405" s="267" t="s">
        <v>229</v>
      </c>
      <c r="F405">
        <v>3.8E-3</v>
      </c>
      <c r="G405" s="474">
        <f t="shared" si="7"/>
        <v>8.2299999999999998E-2</v>
      </c>
      <c r="H405" s="363"/>
      <c r="I405" s="363"/>
      <c r="J405" s="363"/>
      <c r="K405" s="363"/>
      <c r="L405" s="363"/>
      <c r="M405" s="363"/>
      <c r="N405" s="363"/>
      <c r="O405" s="363"/>
    </row>
    <row r="406" spans="1:15" ht="14.5">
      <c r="A406" s="363"/>
      <c r="B406" s="241" t="s">
        <v>581</v>
      </c>
      <c r="C406" s="3">
        <v>7.5999999999999998E-2</v>
      </c>
      <c r="D406" s="267" t="s">
        <v>545</v>
      </c>
      <c r="E406" s="267" t="s">
        <v>229</v>
      </c>
      <c r="F406">
        <v>3.8E-3</v>
      </c>
      <c r="G406" s="474">
        <f t="shared" si="7"/>
        <v>7.9799999999999996E-2</v>
      </c>
      <c r="H406" s="363"/>
      <c r="I406" s="363"/>
      <c r="J406" s="363"/>
      <c r="K406" s="363"/>
      <c r="L406" s="363"/>
      <c r="M406" s="363"/>
      <c r="N406" s="363"/>
      <c r="O406" s="363"/>
    </row>
    <row r="407" spans="1:15" ht="14.5">
      <c r="A407" s="363"/>
      <c r="B407" s="241" t="s">
        <v>582</v>
      </c>
      <c r="C407" s="3">
        <v>8.7999999999999995E-2</v>
      </c>
      <c r="D407" s="267" t="s">
        <v>545</v>
      </c>
      <c r="E407" s="267" t="s">
        <v>229</v>
      </c>
      <c r="F407">
        <v>3.8E-3</v>
      </c>
      <c r="G407" s="474">
        <f t="shared" si="7"/>
        <v>9.1799999999999993E-2</v>
      </c>
      <c r="H407" s="363"/>
      <c r="I407" s="363"/>
      <c r="J407" s="363"/>
      <c r="K407" s="363"/>
      <c r="L407" s="363"/>
      <c r="M407" s="363"/>
      <c r="N407" s="363"/>
      <c r="O407" s="363"/>
    </row>
    <row r="408" spans="1:15" ht="14.5">
      <c r="A408" s="363"/>
      <c r="B408" s="241" t="s">
        <v>583</v>
      </c>
      <c r="C408" s="3">
        <v>6.7299999999999999E-2</v>
      </c>
      <c r="D408" s="267" t="s">
        <v>545</v>
      </c>
      <c r="E408" s="267" t="s">
        <v>229</v>
      </c>
      <c r="F408">
        <v>3.8E-3</v>
      </c>
      <c r="G408" s="474">
        <f t="shared" si="7"/>
        <v>7.1099999999999997E-2</v>
      </c>
      <c r="H408" s="363"/>
      <c r="I408" s="363"/>
      <c r="J408" s="363"/>
      <c r="K408" s="363"/>
      <c r="L408" s="363"/>
      <c r="M408" s="363"/>
      <c r="N408" s="363"/>
      <c r="O408" s="363"/>
    </row>
    <row r="409" spans="1:15" ht="14.5">
      <c r="A409" s="363"/>
      <c r="B409" s="241" t="s">
        <v>584</v>
      </c>
      <c r="C409" s="3">
        <v>6.3600000000000004E-2</v>
      </c>
      <c r="D409" s="267" t="s">
        <v>545</v>
      </c>
      <c r="E409" s="267" t="s">
        <v>229</v>
      </c>
      <c r="F409">
        <v>3.8999999999999998E-3</v>
      </c>
      <c r="G409" s="474">
        <f t="shared" si="7"/>
        <v>6.7500000000000004E-2</v>
      </c>
      <c r="H409" s="363"/>
      <c r="I409" s="363"/>
      <c r="J409" s="363"/>
      <c r="K409" s="363"/>
      <c r="L409" s="363"/>
      <c r="M409" s="363"/>
      <c r="N409" s="363"/>
      <c r="O409" s="363"/>
    </row>
    <row r="410" spans="1:15" ht="14.5">
      <c r="A410" s="363"/>
      <c r="B410" s="241" t="s">
        <v>585</v>
      </c>
      <c r="C410" s="3">
        <v>6.3600000000000004E-2</v>
      </c>
      <c r="D410" s="267" t="s">
        <v>545</v>
      </c>
      <c r="E410" s="267" t="s">
        <v>229</v>
      </c>
      <c r="F410">
        <v>4.0000000000000001E-3</v>
      </c>
      <c r="G410" s="474">
        <f t="shared" si="7"/>
        <v>6.7600000000000007E-2</v>
      </c>
      <c r="H410" s="363"/>
      <c r="I410" s="363"/>
      <c r="J410" s="363"/>
      <c r="K410" s="363"/>
      <c r="L410" s="363"/>
      <c r="M410" s="363"/>
      <c r="N410" s="363"/>
      <c r="O410" s="363"/>
    </row>
    <row r="411" spans="1:15" ht="14.5">
      <c r="A411" s="363"/>
      <c r="B411" s="241" t="s">
        <v>92</v>
      </c>
      <c r="C411" s="3">
        <v>8.490000000000001E-3</v>
      </c>
      <c r="D411" s="267" t="s">
        <v>545</v>
      </c>
      <c r="E411" s="267" t="s">
        <v>564</v>
      </c>
      <c r="F411">
        <v>3.0000000000000001E-3</v>
      </c>
      <c r="G411" s="474">
        <f t="shared" si="7"/>
        <v>1.149E-2</v>
      </c>
      <c r="H411" s="363"/>
      <c r="I411" s="363"/>
      <c r="J411" s="363"/>
      <c r="K411" s="363"/>
      <c r="L411" s="363"/>
      <c r="M411" s="363"/>
      <c r="N411" s="363"/>
      <c r="O411" s="363"/>
    </row>
    <row r="412" spans="1:15" ht="14.5">
      <c r="A412" s="363"/>
      <c r="B412" s="241" t="s">
        <v>586</v>
      </c>
      <c r="C412" s="3">
        <v>8.4700000000000001E-3</v>
      </c>
      <c r="D412" s="267" t="s">
        <v>545</v>
      </c>
      <c r="E412" s="267" t="s">
        <v>587</v>
      </c>
      <c r="F412">
        <v>0</v>
      </c>
      <c r="G412" s="474">
        <f t="shared" si="7"/>
        <v>8.4700000000000001E-3</v>
      </c>
      <c r="H412" s="363"/>
      <c r="I412" s="363"/>
      <c r="J412" s="363"/>
      <c r="K412" s="363"/>
      <c r="L412" s="363"/>
      <c r="M412" s="363"/>
      <c r="N412" s="363"/>
      <c r="O412" s="363"/>
    </row>
    <row r="413" spans="1:15" ht="14.5">
      <c r="A413" s="363"/>
      <c r="B413" s="241" t="s">
        <v>588</v>
      </c>
      <c r="C413" s="3">
        <v>3.3000000000000002E-2</v>
      </c>
      <c r="D413" s="267" t="s">
        <v>545</v>
      </c>
      <c r="E413" s="267" t="s">
        <v>229</v>
      </c>
      <c r="F413">
        <v>0</v>
      </c>
      <c r="G413" s="474">
        <f t="shared" si="7"/>
        <v>3.3000000000000002E-2</v>
      </c>
      <c r="H413" s="363"/>
      <c r="I413" s="363"/>
      <c r="J413" s="363"/>
      <c r="K413" s="363"/>
      <c r="L413" s="363"/>
      <c r="M413" s="363"/>
      <c r="N413" s="363"/>
      <c r="O413" s="363"/>
    </row>
    <row r="414" spans="1:15" ht="14.5">
      <c r="A414" s="363"/>
      <c r="B414" s="241" t="s">
        <v>589</v>
      </c>
      <c r="C414" s="3">
        <v>3.5900000000000001E-2</v>
      </c>
      <c r="D414" s="267" t="s">
        <v>545</v>
      </c>
      <c r="E414" s="267" t="s">
        <v>229</v>
      </c>
      <c r="F414">
        <v>0</v>
      </c>
      <c r="G414" s="474">
        <f t="shared" si="7"/>
        <v>3.5900000000000001E-2</v>
      </c>
      <c r="H414" s="363"/>
      <c r="I414" s="363"/>
      <c r="J414" s="363"/>
      <c r="K414" s="363"/>
      <c r="L414" s="363"/>
      <c r="M414" s="363"/>
      <c r="N414" s="363"/>
      <c r="O414" s="363"/>
    </row>
    <row r="415" spans="1:15" ht="14.5">
      <c r="A415" s="363"/>
      <c r="B415" s="241" t="s">
        <v>590</v>
      </c>
      <c r="C415" s="3">
        <v>2.58E-2</v>
      </c>
      <c r="D415" s="267" t="s">
        <v>545</v>
      </c>
      <c r="E415" s="267" t="s">
        <v>229</v>
      </c>
      <c r="F415">
        <v>0</v>
      </c>
      <c r="G415" s="474">
        <f t="shared" si="7"/>
        <v>2.58E-2</v>
      </c>
      <c r="H415" s="363"/>
      <c r="I415" s="363"/>
      <c r="J415" s="363"/>
      <c r="K415" s="363"/>
      <c r="L415" s="363"/>
      <c r="M415" s="363"/>
      <c r="N415" s="363"/>
      <c r="O415" s="363"/>
    </row>
    <row r="416" spans="1:15" ht="14.5">
      <c r="A416" s="363"/>
      <c r="B416" s="241" t="s">
        <v>591</v>
      </c>
      <c r="C416" s="3">
        <v>2.98E-2</v>
      </c>
      <c r="D416" s="267" t="s">
        <v>545</v>
      </c>
      <c r="E416" s="267" t="s">
        <v>229</v>
      </c>
      <c r="F416">
        <v>0</v>
      </c>
      <c r="G416" s="474">
        <f t="shared" si="7"/>
        <v>2.98E-2</v>
      </c>
      <c r="H416" s="363"/>
      <c r="I416" s="363"/>
      <c r="J416" s="363"/>
      <c r="K416" s="363"/>
      <c r="L416" s="363"/>
      <c r="M416" s="363"/>
      <c r="N416" s="363"/>
      <c r="O416" s="363"/>
    </row>
    <row r="417" spans="1:15" ht="14.5">
      <c r="A417" s="363"/>
      <c r="B417" s="241" t="s">
        <v>592</v>
      </c>
      <c r="C417" s="3">
        <v>1.9400000000000001E-2</v>
      </c>
      <c r="D417" s="267" t="s">
        <v>545</v>
      </c>
      <c r="E417" s="267" t="s">
        <v>229</v>
      </c>
      <c r="F417">
        <v>0</v>
      </c>
      <c r="G417" s="474">
        <f t="shared" si="7"/>
        <v>1.9400000000000001E-2</v>
      </c>
      <c r="H417" s="363"/>
      <c r="I417" s="363"/>
      <c r="J417" s="363"/>
      <c r="K417" s="363"/>
      <c r="L417" s="363"/>
      <c r="M417" s="363"/>
      <c r="N417" s="363"/>
      <c r="O417" s="363"/>
    </row>
    <row r="418" spans="1:15" ht="14.5">
      <c r="A418" s="363"/>
      <c r="B418" s="241" t="s">
        <v>593</v>
      </c>
      <c r="C418" s="3">
        <v>1.3899999999999999E-2</v>
      </c>
      <c r="D418" s="267" t="s">
        <v>545</v>
      </c>
      <c r="E418" s="267" t="s">
        <v>229</v>
      </c>
      <c r="F418">
        <v>0</v>
      </c>
      <c r="G418" s="474">
        <f t="shared" si="7"/>
        <v>1.3899999999999999E-2</v>
      </c>
      <c r="H418" s="363"/>
      <c r="I418" s="363"/>
      <c r="J418" s="363"/>
      <c r="K418" s="363"/>
      <c r="L418" s="363"/>
      <c r="M418" s="363"/>
      <c r="N418" s="363"/>
      <c r="O418" s="363"/>
    </row>
    <row r="419" spans="1:15" ht="14.5">
      <c r="A419" s="363"/>
      <c r="B419" s="241" t="s">
        <v>594</v>
      </c>
      <c r="C419" s="3">
        <v>3.2599999999999997E-2</v>
      </c>
      <c r="D419" s="267" t="s">
        <v>545</v>
      </c>
      <c r="E419" s="267" t="s">
        <v>229</v>
      </c>
      <c r="F419">
        <v>0</v>
      </c>
      <c r="G419" s="474">
        <f t="shared" si="7"/>
        <v>3.2599999999999997E-2</v>
      </c>
      <c r="H419" s="363"/>
      <c r="I419" s="363"/>
      <c r="J419" s="363"/>
      <c r="K419" s="363"/>
      <c r="L419" s="363"/>
      <c r="M419" s="363"/>
      <c r="N419" s="363"/>
      <c r="O419" s="363"/>
    </row>
    <row r="420" spans="1:15" ht="14.5">
      <c r="A420" s="363"/>
      <c r="B420" s="241" t="s">
        <v>595</v>
      </c>
      <c r="C420" s="3">
        <v>9.1000000000000004E-3</v>
      </c>
      <c r="D420" s="267" t="s">
        <v>545</v>
      </c>
      <c r="E420" s="267" t="s">
        <v>229</v>
      </c>
      <c r="F420">
        <v>0</v>
      </c>
      <c r="G420" s="474">
        <f t="shared" si="7"/>
        <v>9.1000000000000004E-3</v>
      </c>
      <c r="H420" s="363"/>
      <c r="I420" s="363"/>
      <c r="J420" s="363"/>
      <c r="K420" s="363"/>
      <c r="L420" s="363"/>
      <c r="M420" s="363"/>
      <c r="N420" s="363"/>
      <c r="O420" s="363"/>
    </row>
    <row r="421" spans="1:15" ht="14.5">
      <c r="A421" s="363"/>
      <c r="B421" s="241" t="s">
        <v>95</v>
      </c>
      <c r="C421" s="3">
        <v>3.0979999999999999</v>
      </c>
      <c r="D421" s="267" t="s">
        <v>545</v>
      </c>
      <c r="E421" s="267" t="s">
        <v>563</v>
      </c>
      <c r="F421">
        <v>2.2899999999999999E-3</v>
      </c>
      <c r="G421" s="474">
        <f t="shared" si="7"/>
        <v>3.1002899999999998</v>
      </c>
      <c r="H421" s="363"/>
      <c r="I421" s="363"/>
      <c r="J421" s="363"/>
      <c r="K421" s="363"/>
      <c r="L421" s="363"/>
      <c r="M421" s="363"/>
      <c r="N421" s="363"/>
      <c r="O421" s="363"/>
    </row>
    <row r="422" spans="1:15">
      <c r="A422" s="363"/>
      <c r="B422" s="363"/>
      <c r="C422" s="364"/>
      <c r="D422" s="363"/>
      <c r="E422" s="363"/>
      <c r="F422" s="363"/>
      <c r="G422" s="363"/>
      <c r="H422" s="363"/>
      <c r="I422" s="363"/>
      <c r="J422" s="363"/>
      <c r="K422" s="363"/>
      <c r="L422" s="363"/>
      <c r="M422" s="363"/>
      <c r="N422" s="363"/>
      <c r="O422" s="363"/>
    </row>
    <row r="423" spans="1:15">
      <c r="A423" s="346" t="s">
        <v>3477</v>
      </c>
      <c r="B423" s="271" t="s">
        <v>596</v>
      </c>
      <c r="C423" s="364"/>
      <c r="D423" s="363"/>
      <c r="E423" s="363"/>
      <c r="F423" s="363"/>
      <c r="G423" s="363"/>
      <c r="H423" s="363"/>
      <c r="I423" s="363"/>
      <c r="J423" s="363"/>
      <c r="K423" s="363"/>
      <c r="L423" s="363"/>
      <c r="M423" s="363"/>
      <c r="N423" s="363"/>
      <c r="O423" s="363"/>
    </row>
    <row r="424" spans="1:15">
      <c r="A424" s="363"/>
      <c r="B424" s="241" t="s">
        <v>597</v>
      </c>
      <c r="C424" s="2" t="s">
        <v>598</v>
      </c>
      <c r="D424" s="363"/>
      <c r="E424" s="363"/>
      <c r="F424" s="363"/>
      <c r="G424" s="363"/>
      <c r="H424" s="363"/>
      <c r="I424" s="363"/>
      <c r="J424" s="363"/>
      <c r="K424" s="363"/>
      <c r="L424" s="363"/>
      <c r="M424" s="363"/>
      <c r="N424" s="363"/>
      <c r="O424" s="363"/>
    </row>
    <row r="425" spans="1:15">
      <c r="A425" s="363"/>
      <c r="B425" s="241" t="s">
        <v>599</v>
      </c>
      <c r="C425" s="2">
        <f>1048576</f>
        <v>1048576</v>
      </c>
      <c r="D425" s="267" t="s">
        <v>600</v>
      </c>
      <c r="E425" s="363"/>
      <c r="F425" s="363"/>
      <c r="G425" s="363"/>
      <c r="H425" s="363"/>
      <c r="I425" s="363"/>
      <c r="J425" s="363"/>
      <c r="K425" s="363"/>
      <c r="L425" s="363"/>
      <c r="M425" s="363"/>
      <c r="N425" s="363"/>
      <c r="O425" s="363"/>
    </row>
    <row r="426" spans="1:15">
      <c r="A426" s="363"/>
      <c r="B426" s="241" t="s">
        <v>601</v>
      </c>
      <c r="C426" s="2">
        <v>3</v>
      </c>
      <c r="D426" s="267" t="s">
        <v>602</v>
      </c>
      <c r="E426" s="363"/>
      <c r="F426" s="363"/>
      <c r="G426" s="363"/>
      <c r="H426" s="363"/>
      <c r="I426" s="363"/>
      <c r="J426" s="363"/>
      <c r="K426" s="363"/>
      <c r="L426" s="363"/>
      <c r="M426" s="363"/>
      <c r="N426" s="363"/>
      <c r="O426" s="363"/>
    </row>
    <row r="427" spans="1:15">
      <c r="A427" s="363"/>
      <c r="B427" s="241" t="s">
        <v>603</v>
      </c>
      <c r="C427" s="273">
        <v>3.1941592516541181E-4</v>
      </c>
      <c r="D427" s="267" t="s">
        <v>604</v>
      </c>
      <c r="E427" s="267" t="s">
        <v>605</v>
      </c>
      <c r="F427" s="363"/>
      <c r="G427" s="363"/>
      <c r="H427" s="363"/>
      <c r="I427" s="363"/>
      <c r="J427" s="363"/>
      <c r="K427" s="363"/>
      <c r="L427" s="363"/>
      <c r="M427" s="363"/>
      <c r="N427" s="363"/>
      <c r="O427" s="363"/>
    </row>
    <row r="428" spans="1:15">
      <c r="A428" s="363"/>
      <c r="B428" s="241" t="s">
        <v>606</v>
      </c>
      <c r="C428" s="273">
        <v>7.1999999999999997E-11</v>
      </c>
      <c r="D428" s="267" t="s">
        <v>607</v>
      </c>
      <c r="E428" s="267" t="s">
        <v>605</v>
      </c>
      <c r="F428" s="363"/>
      <c r="G428" s="363"/>
      <c r="H428" s="363"/>
      <c r="I428" s="363"/>
      <c r="J428" s="363"/>
      <c r="K428" s="363"/>
      <c r="L428" s="363"/>
      <c r="M428" s="363"/>
      <c r="N428" s="363"/>
      <c r="O428" s="363"/>
    </row>
    <row r="429" spans="1:15">
      <c r="A429" s="363"/>
      <c r="B429" s="241" t="s">
        <v>608</v>
      </c>
      <c r="C429" s="273">
        <v>1.5200000000000002E-10</v>
      </c>
      <c r="D429" s="267" t="s">
        <v>607</v>
      </c>
      <c r="E429" s="267" t="s">
        <v>605</v>
      </c>
      <c r="F429" s="363"/>
      <c r="G429" s="363"/>
      <c r="H429" s="363"/>
      <c r="I429" s="363"/>
      <c r="J429" s="363"/>
      <c r="K429" s="363"/>
      <c r="L429" s="363"/>
      <c r="M429" s="363"/>
      <c r="N429" s="363"/>
      <c r="O429" s="363"/>
    </row>
    <row r="430" spans="1:15">
      <c r="A430" s="363"/>
      <c r="B430" s="278" t="s">
        <v>609</v>
      </c>
      <c r="C430" s="273">
        <v>4.0000000000000001E-3</v>
      </c>
      <c r="D430" s="267" t="s">
        <v>37</v>
      </c>
      <c r="E430" s="267" t="s">
        <v>610</v>
      </c>
      <c r="F430" s="363"/>
      <c r="G430" s="363"/>
      <c r="H430" s="363"/>
      <c r="I430" s="363"/>
      <c r="J430" s="363"/>
      <c r="K430" s="363"/>
      <c r="L430" s="363"/>
      <c r="M430" s="363"/>
      <c r="N430" s="363"/>
      <c r="O430" s="363"/>
    </row>
    <row r="431" spans="1:15">
      <c r="A431" s="363"/>
      <c r="B431" s="5"/>
      <c r="C431" s="448"/>
      <c r="F431" s="363"/>
      <c r="G431" s="363"/>
      <c r="H431" s="363"/>
      <c r="I431" s="363"/>
      <c r="J431" s="363"/>
      <c r="K431" s="363"/>
      <c r="L431" s="363"/>
      <c r="M431" s="363"/>
      <c r="N431" s="363"/>
      <c r="O431" s="363"/>
    </row>
    <row r="432" spans="1:15" ht="14.5">
      <c r="A432" s="363"/>
      <c r="B432" s="449" t="s">
        <v>3835</v>
      </c>
      <c r="C432" s="451">
        <v>1.8556544223895354E-10</v>
      </c>
      <c r="D432" s="449" t="s">
        <v>3836</v>
      </c>
      <c r="E432" s="267" t="s">
        <v>3838</v>
      </c>
      <c r="F432" s="363"/>
      <c r="G432" s="363"/>
      <c r="H432" s="363"/>
      <c r="I432" s="363"/>
      <c r="J432" s="363"/>
      <c r="K432" s="363"/>
      <c r="L432" s="363"/>
      <c r="M432" s="363"/>
      <c r="N432" s="363"/>
      <c r="O432" s="363"/>
    </row>
    <row r="433" spans="1:15" ht="14.5">
      <c r="A433" s="363"/>
      <c r="B433" s="449" t="s">
        <v>3837</v>
      </c>
      <c r="C433" s="451">
        <v>4.784E-9</v>
      </c>
      <c r="D433" s="449" t="s">
        <v>3836</v>
      </c>
      <c r="E433" s="267" t="s">
        <v>3838</v>
      </c>
      <c r="F433" s="363"/>
      <c r="G433" s="363"/>
      <c r="H433" s="363"/>
      <c r="I433" s="363"/>
      <c r="J433" s="363"/>
      <c r="K433" s="363"/>
      <c r="L433" s="363"/>
      <c r="M433" s="363"/>
      <c r="N433" s="363"/>
      <c r="O433" s="363"/>
    </row>
    <row r="434" spans="1:15" ht="14.5">
      <c r="A434" s="363"/>
      <c r="B434" s="308"/>
      <c r="C434" s="452"/>
      <c r="D434" s="308"/>
      <c r="F434" s="363"/>
      <c r="G434" s="363"/>
      <c r="H434" s="363"/>
      <c r="I434" s="363"/>
      <c r="J434" s="363"/>
      <c r="K434" s="363"/>
      <c r="L434" s="363"/>
      <c r="M434" s="363"/>
      <c r="N434" s="363"/>
      <c r="O434" s="363"/>
    </row>
    <row r="435" spans="1:15">
      <c r="A435" s="363"/>
      <c r="B435" s="5"/>
      <c r="C435" s="448"/>
      <c r="F435" s="363"/>
      <c r="G435" s="450"/>
      <c r="H435" s="363"/>
      <c r="I435" s="363"/>
      <c r="J435" s="363"/>
      <c r="K435" s="363"/>
      <c r="L435" s="363"/>
      <c r="M435" s="363"/>
      <c r="N435" s="363"/>
      <c r="O435" s="363"/>
    </row>
    <row r="436" spans="1:15">
      <c r="A436" s="363"/>
      <c r="B436" s="363"/>
      <c r="C436" s="364"/>
      <c r="D436" s="363"/>
      <c r="E436" s="363"/>
      <c r="F436" s="363"/>
      <c r="G436" s="363"/>
      <c r="H436" s="363"/>
      <c r="I436" s="363"/>
      <c r="J436" s="363"/>
      <c r="K436" s="363"/>
      <c r="L436" s="363"/>
      <c r="M436" s="363"/>
      <c r="N436" s="363"/>
      <c r="O436" s="363"/>
    </row>
    <row r="437" spans="1:15">
      <c r="A437" s="346" t="s">
        <v>3478</v>
      </c>
      <c r="B437" s="271" t="s">
        <v>3461</v>
      </c>
      <c r="C437" s="369"/>
      <c r="D437" s="363"/>
      <c r="E437" s="363"/>
      <c r="F437" s="363"/>
      <c r="G437" s="363"/>
      <c r="H437" s="363"/>
      <c r="I437" s="363"/>
      <c r="J437" s="363"/>
      <c r="K437" s="363"/>
      <c r="L437" s="363"/>
      <c r="M437" s="363"/>
      <c r="N437" s="363"/>
      <c r="O437" s="363"/>
    </row>
    <row r="438" spans="1:15">
      <c r="A438" s="363"/>
      <c r="B438" s="296" t="s">
        <v>3561</v>
      </c>
      <c r="C438" s="296">
        <v>3.666666666666667</v>
      </c>
      <c r="D438" s="296" t="s">
        <v>305</v>
      </c>
      <c r="E438" s="371"/>
      <c r="F438" s="267" t="s">
        <v>229</v>
      </c>
      <c r="G438" s="363"/>
      <c r="H438" s="363"/>
      <c r="I438" s="363"/>
      <c r="J438" s="363"/>
      <c r="K438" s="363"/>
      <c r="L438" s="363"/>
      <c r="M438" s="363"/>
      <c r="N438" s="363"/>
      <c r="O438" s="363"/>
    </row>
    <row r="439" spans="1:15">
      <c r="A439" s="363"/>
      <c r="B439" s="296" t="s">
        <v>3480</v>
      </c>
      <c r="C439" s="296">
        <v>1.1000000000000001</v>
      </c>
      <c r="D439" s="296" t="s">
        <v>3479</v>
      </c>
      <c r="E439" s="371"/>
      <c r="F439" s="267" t="s">
        <v>229</v>
      </c>
      <c r="G439" s="363"/>
      <c r="H439" s="363"/>
      <c r="I439" s="363"/>
      <c r="J439" s="363"/>
      <c r="K439" s="363"/>
      <c r="L439" s="363"/>
      <c r="M439" s="363"/>
      <c r="N439" s="363"/>
      <c r="O439" s="363"/>
    </row>
    <row r="440" spans="1:15" ht="14.5">
      <c r="A440" s="363"/>
      <c r="B440" s="296" t="s">
        <v>3641</v>
      </c>
      <c r="C440" s="296">
        <v>220</v>
      </c>
      <c r="D440" s="296" t="s">
        <v>274</v>
      </c>
      <c r="E440" t="s">
        <v>3640</v>
      </c>
      <c r="F440" s="296" t="s">
        <v>3567</v>
      </c>
      <c r="G440" s="363" t="s">
        <v>3642</v>
      </c>
      <c r="H440" s="363"/>
      <c r="I440" s="363"/>
      <c r="J440" s="363"/>
      <c r="K440" s="363"/>
      <c r="L440" s="363"/>
      <c r="M440" s="363"/>
      <c r="N440" s="363"/>
      <c r="O440" s="363"/>
    </row>
    <row r="441" spans="1:15" ht="70">
      <c r="A441" s="363"/>
      <c r="B441" s="296" t="s">
        <v>3562</v>
      </c>
      <c r="C441" s="296">
        <f>((0.14*2)*10)*10</f>
        <v>28.000000000000004</v>
      </c>
      <c r="D441" s="296" t="s">
        <v>3565</v>
      </c>
      <c r="E441" s="371"/>
      <c r="F441" s="296" t="s">
        <v>229</v>
      </c>
      <c r="G441" s="260" t="s">
        <v>3563</v>
      </c>
      <c r="H441" s="363"/>
      <c r="I441" s="363"/>
      <c r="J441" s="363"/>
      <c r="K441" s="363"/>
      <c r="L441" s="363"/>
      <c r="M441" s="363"/>
      <c r="N441" s="363"/>
      <c r="O441" s="363"/>
    </row>
    <row r="442" spans="1:15" ht="70">
      <c r="A442" s="363"/>
      <c r="B442" s="296" t="s">
        <v>3562</v>
      </c>
      <c r="C442" s="296">
        <v>0.14000000000000001</v>
      </c>
      <c r="D442" s="296" t="s">
        <v>3564</v>
      </c>
      <c r="E442" s="371"/>
      <c r="F442" s="296" t="s">
        <v>229</v>
      </c>
      <c r="G442" s="260" t="s">
        <v>3563</v>
      </c>
      <c r="H442" s="363"/>
      <c r="I442" s="363"/>
      <c r="J442" s="363"/>
      <c r="K442" s="363"/>
      <c r="L442" s="363"/>
      <c r="M442" s="363"/>
      <c r="N442" s="363"/>
      <c r="O442" s="363"/>
    </row>
    <row r="443" spans="1:15">
      <c r="A443" s="363"/>
      <c r="B443" s="296" t="s">
        <v>3566</v>
      </c>
      <c r="C443" s="296">
        <v>190</v>
      </c>
      <c r="D443" s="296" t="s">
        <v>274</v>
      </c>
      <c r="E443" s="296" t="s">
        <v>3570</v>
      </c>
      <c r="F443" s="296" t="s">
        <v>3567</v>
      </c>
      <c r="G443" s="367"/>
      <c r="H443" s="363"/>
      <c r="I443" s="363"/>
      <c r="J443" s="363"/>
      <c r="K443" s="363"/>
      <c r="L443" s="363"/>
      <c r="M443" s="363"/>
      <c r="N443" s="363"/>
      <c r="O443" s="363"/>
    </row>
    <row r="444" spans="1:15">
      <c r="A444" s="363"/>
      <c r="B444" s="296" t="s">
        <v>3480</v>
      </c>
      <c r="C444" s="296">
        <v>1.1000000000000001</v>
      </c>
      <c r="D444" s="296" t="s">
        <v>3479</v>
      </c>
      <c r="E444" s="296"/>
      <c r="F444" s="267" t="s">
        <v>229</v>
      </c>
      <c r="G444" s="367">
        <v>300</v>
      </c>
      <c r="H444" s="363" t="s">
        <v>3938</v>
      </c>
      <c r="I444" s="363"/>
      <c r="J444" s="363"/>
      <c r="K444" s="363"/>
      <c r="L444" s="363"/>
      <c r="M444" s="363"/>
      <c r="N444" s="363"/>
      <c r="O444" s="363"/>
    </row>
    <row r="445" spans="1:15">
      <c r="A445" s="363"/>
      <c r="B445" s="296" t="s">
        <v>3922</v>
      </c>
      <c r="C445" s="296">
        <f>$C$444*G445/$G$444</f>
        <v>1.8333333333333333</v>
      </c>
      <c r="D445" s="296" t="s">
        <v>3479</v>
      </c>
      <c r="E445" s="296"/>
      <c r="F445" s="296" t="s">
        <v>3935</v>
      </c>
      <c r="G445" s="367">
        <v>500</v>
      </c>
      <c r="H445" s="363" t="s">
        <v>3938</v>
      </c>
      <c r="I445" s="363"/>
      <c r="J445" s="363"/>
      <c r="K445" s="363"/>
      <c r="L445" s="363"/>
      <c r="M445" s="363"/>
      <c r="N445" s="363"/>
      <c r="O445" s="363"/>
    </row>
    <row r="446" spans="1:15">
      <c r="A446" s="363"/>
      <c r="B446" s="371" t="s">
        <v>3923</v>
      </c>
      <c r="C446" s="371">
        <f t="shared" ref="C446:C449" si="8">$C$444*G446/$G$444</f>
        <v>2.2000000000000002</v>
      </c>
      <c r="D446" s="371" t="s">
        <v>3479</v>
      </c>
      <c r="E446" s="371"/>
      <c r="F446" s="371" t="s">
        <v>3935</v>
      </c>
      <c r="G446" s="367">
        <v>600</v>
      </c>
      <c r="H446" s="363" t="s">
        <v>3938</v>
      </c>
      <c r="I446" s="363"/>
      <c r="J446" s="363"/>
      <c r="K446" s="363"/>
      <c r="L446" s="363"/>
      <c r="M446" s="363"/>
      <c r="N446" s="363"/>
      <c r="O446" s="363"/>
    </row>
    <row r="447" spans="1:15">
      <c r="A447" s="363"/>
      <c r="B447" s="371" t="s">
        <v>3924</v>
      </c>
      <c r="C447" s="371">
        <f t="shared" si="8"/>
        <v>0.91666666666666663</v>
      </c>
      <c r="D447" s="371" t="s">
        <v>3479</v>
      </c>
      <c r="E447" s="371"/>
      <c r="F447" s="371" t="s">
        <v>3935</v>
      </c>
      <c r="G447" s="367">
        <v>250</v>
      </c>
      <c r="H447" s="363" t="s">
        <v>3938</v>
      </c>
      <c r="I447" s="363"/>
      <c r="J447" s="363"/>
      <c r="K447" s="363"/>
      <c r="L447" s="363"/>
      <c r="M447" s="363"/>
      <c r="N447" s="363"/>
      <c r="O447" s="363"/>
    </row>
    <row r="448" spans="1:15">
      <c r="A448" s="363"/>
      <c r="B448" s="371" t="s">
        <v>3925</v>
      </c>
      <c r="C448" s="371">
        <f t="shared" si="8"/>
        <v>1.8333333333333333</v>
      </c>
      <c r="D448" s="371" t="s">
        <v>3479</v>
      </c>
      <c r="E448" s="371"/>
      <c r="F448" s="371" t="s">
        <v>3935</v>
      </c>
      <c r="G448" s="367">
        <v>500</v>
      </c>
      <c r="H448" s="363" t="s">
        <v>3938</v>
      </c>
      <c r="I448" s="363"/>
      <c r="J448" s="363"/>
      <c r="K448" s="363"/>
      <c r="L448" s="363"/>
      <c r="M448" s="363"/>
      <c r="N448" s="363"/>
      <c r="O448" s="363"/>
    </row>
    <row r="449" spans="1:15">
      <c r="A449" s="363"/>
      <c r="B449" s="371" t="s">
        <v>3926</v>
      </c>
      <c r="C449" s="371">
        <f t="shared" si="8"/>
        <v>0.91666666666666663</v>
      </c>
      <c r="D449" s="371" t="s">
        <v>3479</v>
      </c>
      <c r="E449" s="371"/>
      <c r="F449" s="371" t="s">
        <v>3935</v>
      </c>
      <c r="G449" s="367">
        <v>250</v>
      </c>
      <c r="H449" s="363" t="s">
        <v>3938</v>
      </c>
      <c r="I449" s="363"/>
      <c r="J449" s="363"/>
      <c r="K449" s="363"/>
      <c r="L449" s="363"/>
      <c r="M449" s="363"/>
      <c r="N449" s="363"/>
      <c r="O449" s="363"/>
    </row>
    <row r="450" spans="1:15" ht="14.5">
      <c r="A450" s="363"/>
      <c r="B450" s="371" t="s">
        <v>3927</v>
      </c>
      <c r="C450" s="511">
        <v>0.25151609670810299</v>
      </c>
      <c r="D450" s="371" t="s">
        <v>3479</v>
      </c>
      <c r="E450" s="371" t="s">
        <v>3931</v>
      </c>
      <c r="F450" s="371" t="s">
        <v>3936</v>
      </c>
      <c r="G450" s="367"/>
      <c r="H450" s="363"/>
      <c r="I450" s="363"/>
      <c r="J450" s="363"/>
      <c r="K450" s="363"/>
      <c r="L450" s="363"/>
      <c r="M450" s="363"/>
      <c r="N450" s="363"/>
      <c r="O450" s="363"/>
    </row>
    <row r="451" spans="1:15" ht="14.5">
      <c r="A451" s="363"/>
      <c r="B451" s="371" t="s">
        <v>3928</v>
      </c>
      <c r="C451" s="511">
        <f>C450*365</f>
        <v>91.803375298457595</v>
      </c>
      <c r="D451" s="371" t="s">
        <v>3939</v>
      </c>
      <c r="E451" s="487" t="s">
        <v>3932</v>
      </c>
      <c r="F451" s="371" t="s">
        <v>3937</v>
      </c>
      <c r="G451" s="367"/>
      <c r="H451" s="363"/>
      <c r="I451" s="363"/>
      <c r="J451" s="363"/>
      <c r="K451" s="363"/>
      <c r="L451" s="363"/>
      <c r="M451" s="363"/>
      <c r="N451" s="363"/>
      <c r="O451" s="363"/>
    </row>
    <row r="452" spans="1:15" ht="14.5">
      <c r="A452" s="363"/>
      <c r="B452" s="371" t="s">
        <v>3929</v>
      </c>
      <c r="C452" s="511">
        <f>C450*52</f>
        <v>13.078837028821356</v>
      </c>
      <c r="D452" s="371" t="s">
        <v>3939</v>
      </c>
      <c r="E452" s="487" t="s">
        <v>3933</v>
      </c>
      <c r="F452" s="371" t="s">
        <v>3937</v>
      </c>
      <c r="G452" s="367"/>
      <c r="H452" s="363"/>
      <c r="I452" s="363"/>
      <c r="J452" s="363"/>
      <c r="K452" s="363"/>
      <c r="L452" s="363"/>
      <c r="M452" s="363"/>
      <c r="N452" s="363"/>
      <c r="O452" s="363"/>
    </row>
    <row r="453" spans="1:15" ht="14.5">
      <c r="A453" s="363"/>
      <c r="B453" s="371" t="s">
        <v>3930</v>
      </c>
      <c r="C453" s="511">
        <f>C450*12</f>
        <v>3.0181931604972361</v>
      </c>
      <c r="D453" s="371" t="s">
        <v>3939</v>
      </c>
      <c r="E453" s="487" t="s">
        <v>3934</v>
      </c>
      <c r="F453" s="371" t="s">
        <v>3937</v>
      </c>
      <c r="G453" s="367"/>
      <c r="H453" s="363"/>
      <c r="I453" s="363"/>
      <c r="J453" s="363"/>
      <c r="K453" s="363"/>
      <c r="L453" s="363"/>
      <c r="M453" s="363"/>
      <c r="N453" s="363"/>
      <c r="O453" s="363"/>
    </row>
    <row r="454" spans="1:15">
      <c r="A454" s="363"/>
      <c r="B454" s="347"/>
      <c r="C454" s="347"/>
      <c r="D454" s="347"/>
      <c r="E454" s="347"/>
      <c r="F454" s="347"/>
      <c r="G454" s="367"/>
      <c r="H454" s="363"/>
      <c r="I454" s="363"/>
      <c r="J454" s="363"/>
      <c r="K454" s="363"/>
      <c r="L454" s="363"/>
      <c r="M454" s="363"/>
      <c r="N454" s="363"/>
      <c r="O454" s="363"/>
    </row>
    <row r="455" spans="1:15">
      <c r="A455" s="363"/>
      <c r="B455" s="347"/>
      <c r="C455" s="347"/>
      <c r="D455" s="347"/>
      <c r="E455" s="347"/>
      <c r="F455" s="347"/>
      <c r="G455" s="367"/>
      <c r="H455" s="363"/>
      <c r="I455" s="363"/>
      <c r="J455" s="363"/>
      <c r="K455" s="363"/>
      <c r="L455" s="363"/>
      <c r="M455" s="363"/>
      <c r="N455" s="363"/>
      <c r="O455" s="363"/>
    </row>
    <row r="456" spans="1:15">
      <c r="A456" s="363"/>
      <c r="B456" s="347"/>
      <c r="C456" s="347"/>
      <c r="D456" s="347"/>
      <c r="E456" s="347"/>
      <c r="F456" s="347"/>
      <c r="G456" s="367"/>
      <c r="H456" s="363"/>
      <c r="I456" s="363"/>
      <c r="J456" s="363"/>
      <c r="K456" s="363"/>
      <c r="L456" s="363"/>
      <c r="M456" s="363"/>
      <c r="N456" s="363"/>
      <c r="O456" s="363"/>
    </row>
    <row r="457" spans="1:15">
      <c r="A457" s="363"/>
      <c r="B457" s="347"/>
      <c r="C457" s="347"/>
      <c r="D457" s="347"/>
      <c r="E457" s="347"/>
      <c r="F457" s="347"/>
      <c r="G457" s="367"/>
      <c r="H457" s="363"/>
      <c r="I457" s="363"/>
      <c r="J457" s="363"/>
      <c r="K457" s="363"/>
      <c r="L457" s="363"/>
      <c r="M457" s="363"/>
      <c r="N457" s="363"/>
      <c r="O457" s="363"/>
    </row>
    <row r="458" spans="1:15">
      <c r="A458" s="363"/>
      <c r="B458" s="347"/>
      <c r="C458" s="347"/>
      <c r="D458" s="347"/>
      <c r="E458" s="347"/>
      <c r="F458" s="347"/>
      <c r="G458" s="367"/>
      <c r="H458" s="363"/>
      <c r="I458" s="363"/>
      <c r="J458" s="363"/>
      <c r="K458" s="363"/>
      <c r="L458" s="363"/>
      <c r="M458" s="363"/>
      <c r="N458" s="363"/>
      <c r="O458" s="363"/>
    </row>
    <row r="459" spans="1:15">
      <c r="A459" s="363"/>
      <c r="B459" s="347"/>
      <c r="C459" s="347"/>
      <c r="D459" s="347"/>
      <c r="E459" s="347"/>
      <c r="F459" s="347"/>
      <c r="G459" s="367"/>
      <c r="H459" s="363"/>
      <c r="I459" s="363"/>
      <c r="J459" s="363"/>
      <c r="K459" s="363"/>
      <c r="L459" s="363"/>
      <c r="M459" s="363"/>
      <c r="N459" s="363"/>
      <c r="O459" s="363"/>
    </row>
    <row r="460" spans="1:15">
      <c r="A460" s="363"/>
      <c r="B460" s="347"/>
      <c r="C460" s="347"/>
      <c r="D460" s="347"/>
      <c r="E460" s="347"/>
      <c r="F460" s="347"/>
      <c r="G460" s="367"/>
      <c r="H460" s="363"/>
      <c r="I460" s="363"/>
      <c r="J460" s="363"/>
      <c r="K460" s="363"/>
      <c r="L460" s="363"/>
      <c r="M460" s="363"/>
      <c r="N460" s="363"/>
      <c r="O460" s="363"/>
    </row>
    <row r="461" spans="1:15">
      <c r="A461" s="363"/>
      <c r="B461" s="347"/>
      <c r="C461" s="347"/>
      <c r="D461" s="347"/>
      <c r="E461" s="347"/>
      <c r="F461" s="347"/>
      <c r="G461" s="367"/>
      <c r="H461" s="363"/>
      <c r="I461" s="363"/>
      <c r="J461" s="363"/>
      <c r="K461" s="363"/>
      <c r="L461" s="363"/>
      <c r="M461" s="363"/>
      <c r="N461" s="363"/>
      <c r="O461" s="363"/>
    </row>
    <row r="462" spans="1:15">
      <c r="A462" s="363"/>
      <c r="B462" s="347"/>
      <c r="C462" s="347"/>
      <c r="D462" s="347"/>
      <c r="E462" s="347"/>
      <c r="F462" s="347"/>
      <c r="G462" s="367"/>
      <c r="H462" s="363"/>
      <c r="I462" s="363"/>
      <c r="J462" s="363"/>
      <c r="K462" s="363"/>
      <c r="L462" s="363"/>
      <c r="M462" s="363"/>
      <c r="N462" s="363"/>
      <c r="O462" s="363"/>
    </row>
    <row r="463" spans="1:15">
      <c r="A463" s="363"/>
      <c r="B463" s="347"/>
      <c r="C463" s="347"/>
      <c r="D463" s="347"/>
      <c r="E463" s="347"/>
      <c r="F463" s="347"/>
      <c r="G463" s="367"/>
      <c r="H463" s="363"/>
      <c r="I463" s="363"/>
      <c r="J463" s="363"/>
      <c r="K463" s="363"/>
      <c r="L463" s="363"/>
      <c r="M463" s="363"/>
      <c r="N463" s="363"/>
      <c r="O463" s="363"/>
    </row>
    <row r="464" spans="1:15">
      <c r="A464" s="363"/>
      <c r="B464" s="347"/>
      <c r="C464" s="347"/>
      <c r="D464" s="347"/>
      <c r="E464" s="347"/>
      <c r="F464" s="347"/>
      <c r="G464" s="367"/>
      <c r="H464" s="363"/>
      <c r="I464" s="363"/>
      <c r="J464" s="363"/>
      <c r="K464" s="363"/>
      <c r="L464" s="363"/>
      <c r="M464" s="363"/>
      <c r="N464" s="363"/>
      <c r="O464" s="363"/>
    </row>
    <row r="465" spans="1:15">
      <c r="A465" s="363"/>
      <c r="B465" s="363"/>
      <c r="C465" s="364"/>
      <c r="D465" s="363"/>
      <c r="E465" s="363"/>
      <c r="F465" s="363"/>
      <c r="G465" s="363"/>
      <c r="H465" s="363"/>
      <c r="I465" s="363"/>
      <c r="J465" s="363"/>
      <c r="K465" s="363"/>
      <c r="L465" s="363"/>
      <c r="M465" s="363"/>
      <c r="N465" s="363"/>
      <c r="O465" s="363"/>
    </row>
    <row r="466" spans="1:15">
      <c r="A466" s="346" t="s">
        <v>3486</v>
      </c>
      <c r="B466" s="271" t="s">
        <v>3484</v>
      </c>
      <c r="C466" s="364"/>
      <c r="D466" s="363"/>
      <c r="E466" s="363"/>
      <c r="F466" s="363"/>
      <c r="G466" s="363"/>
      <c r="H466" s="363"/>
      <c r="I466" s="363"/>
      <c r="J466" s="363"/>
      <c r="K466" s="363"/>
      <c r="L466" s="363"/>
      <c r="M466" s="363"/>
      <c r="N466" s="363"/>
      <c r="O466" s="363"/>
    </row>
    <row r="467" spans="1:15">
      <c r="A467" s="363"/>
      <c r="B467" s="296" t="s">
        <v>3482</v>
      </c>
      <c r="C467" s="296">
        <v>440</v>
      </c>
      <c r="D467" s="296" t="s">
        <v>33</v>
      </c>
      <c r="E467" s="267" t="s">
        <v>229</v>
      </c>
      <c r="F467" s="363"/>
      <c r="G467" s="363"/>
      <c r="H467" s="363"/>
      <c r="I467" s="363"/>
      <c r="J467" s="363"/>
      <c r="K467" s="363"/>
      <c r="L467" s="363"/>
      <c r="M467" s="363"/>
      <c r="N467" s="363"/>
      <c r="O467" s="363"/>
    </row>
    <row r="468" spans="1:15">
      <c r="A468" s="363"/>
      <c r="B468" s="296" t="s">
        <v>3625</v>
      </c>
      <c r="C468" s="296">
        <v>370</v>
      </c>
      <c r="D468" s="296" t="s">
        <v>274</v>
      </c>
      <c r="E468" s="267" t="s">
        <v>3567</v>
      </c>
      <c r="F468" s="363"/>
      <c r="G468" s="363"/>
      <c r="H468" s="363"/>
      <c r="I468" s="363"/>
      <c r="J468" s="363"/>
      <c r="K468" s="363"/>
      <c r="L468" s="363"/>
      <c r="M468" s="363"/>
      <c r="N468" s="363"/>
      <c r="O468" s="363"/>
    </row>
    <row r="469" spans="1:15">
      <c r="A469" s="363"/>
      <c r="B469" s="372"/>
      <c r="C469" s="372"/>
      <c r="D469" s="372"/>
      <c r="E469" s="363"/>
      <c r="F469" s="363"/>
      <c r="G469" s="363"/>
      <c r="H469" s="363"/>
      <c r="I469" s="363"/>
      <c r="J469" s="363"/>
      <c r="K469" s="363"/>
      <c r="L469" s="363"/>
      <c r="M469" s="363"/>
      <c r="N469" s="363"/>
      <c r="O469" s="363"/>
    </row>
    <row r="470" spans="1:15">
      <c r="A470" s="346" t="s">
        <v>3526</v>
      </c>
      <c r="B470" s="271" t="str">
        <f>A470</f>
        <v>EQUIPEMENTS</v>
      </c>
      <c r="C470" s="372"/>
      <c r="D470" s="372"/>
      <c r="E470" s="363"/>
      <c r="F470" s="363"/>
      <c r="G470" s="363"/>
      <c r="H470" s="363"/>
      <c r="I470" s="363"/>
      <c r="J470" s="363"/>
      <c r="K470" s="363"/>
      <c r="L470" s="363"/>
      <c r="M470" s="363"/>
      <c r="N470" s="363"/>
      <c r="O470" s="363"/>
    </row>
    <row r="471" spans="1:15">
      <c r="A471" s="363"/>
      <c r="B471" s="296" t="s">
        <v>3527</v>
      </c>
      <c r="C471" s="296">
        <v>320</v>
      </c>
      <c r="D471" s="296" t="s">
        <v>274</v>
      </c>
      <c r="E471" s="296" t="s">
        <v>3622</v>
      </c>
      <c r="F471" s="296" t="s">
        <v>3567</v>
      </c>
      <c r="G471" s="363"/>
      <c r="H471" s="363"/>
      <c r="I471" s="363"/>
      <c r="J471" s="363"/>
      <c r="K471" s="363"/>
      <c r="L471" s="363"/>
      <c r="M471" s="363"/>
      <c r="N471" s="363"/>
      <c r="O471" s="363"/>
    </row>
    <row r="472" spans="1:15">
      <c r="A472" s="363"/>
      <c r="B472" s="296" t="s">
        <v>3528</v>
      </c>
      <c r="C472" s="296">
        <v>400</v>
      </c>
      <c r="D472" s="296" t="s">
        <v>274</v>
      </c>
      <c r="E472" s="296" t="s">
        <v>3521</v>
      </c>
      <c r="F472" s="296" t="s">
        <v>229</v>
      </c>
      <c r="G472" s="363"/>
      <c r="H472" s="363"/>
      <c r="I472" s="363"/>
      <c r="J472" s="363"/>
      <c r="K472" s="363"/>
      <c r="L472" s="363"/>
      <c r="M472" s="363"/>
      <c r="N472" s="363"/>
      <c r="O472" s="363"/>
    </row>
    <row r="473" spans="1:15">
      <c r="A473" s="363"/>
      <c r="B473" s="296" t="s">
        <v>3505</v>
      </c>
      <c r="C473" s="296">
        <v>600</v>
      </c>
      <c r="D473" s="296" t="s">
        <v>274</v>
      </c>
      <c r="E473" s="371"/>
      <c r="F473" s="296" t="s">
        <v>229</v>
      </c>
      <c r="G473" s="363"/>
      <c r="H473" s="363"/>
      <c r="I473" s="363"/>
      <c r="J473" s="363"/>
      <c r="K473" s="363"/>
      <c r="L473" s="363"/>
      <c r="M473" s="363"/>
      <c r="N473" s="363"/>
      <c r="O473" s="363"/>
    </row>
    <row r="474" spans="1:15">
      <c r="A474" s="363"/>
      <c r="B474" s="296" t="s">
        <v>3422</v>
      </c>
      <c r="C474" s="296">
        <v>400</v>
      </c>
      <c r="D474" s="296" t="s">
        <v>274</v>
      </c>
      <c r="E474" s="296" t="s">
        <v>3521</v>
      </c>
      <c r="F474" s="296" t="s">
        <v>229</v>
      </c>
      <c r="G474" s="363"/>
      <c r="H474" s="363"/>
      <c r="I474" s="363"/>
      <c r="J474" s="363"/>
      <c r="K474" s="363"/>
      <c r="L474" s="363"/>
      <c r="M474" s="363"/>
      <c r="N474" s="363"/>
      <c r="O474" s="363"/>
    </row>
    <row r="475" spans="1:15" ht="14.5">
      <c r="A475" s="363"/>
      <c r="B475" s="296" t="s">
        <v>3628</v>
      </c>
      <c r="C475" s="296">
        <v>490</v>
      </c>
      <c r="D475" s="296" t="s">
        <v>274</v>
      </c>
      <c r="E475" s="64" t="s">
        <v>3626</v>
      </c>
      <c r="F475" s="296" t="s">
        <v>3567</v>
      </c>
      <c r="G475" s="363"/>
      <c r="H475" s="363"/>
      <c r="I475" s="363"/>
      <c r="J475" s="363"/>
      <c r="K475" s="363"/>
      <c r="L475" s="363"/>
      <c r="M475" s="363"/>
      <c r="N475" s="363"/>
      <c r="O475" s="363"/>
    </row>
    <row r="476" spans="1:15" ht="14.5">
      <c r="A476" s="363"/>
      <c r="B476" s="296" t="s">
        <v>3629</v>
      </c>
      <c r="C476" s="296">
        <v>830</v>
      </c>
      <c r="D476" s="296" t="s">
        <v>274</v>
      </c>
      <c r="E476" s="64" t="s">
        <v>3627</v>
      </c>
      <c r="F476" s="296" t="s">
        <v>3567</v>
      </c>
      <c r="G476" s="363"/>
      <c r="H476" s="363"/>
      <c r="I476" s="363"/>
      <c r="J476" s="363"/>
      <c r="K476" s="363"/>
      <c r="L476" s="363"/>
      <c r="M476" s="363"/>
      <c r="N476" s="363"/>
      <c r="O476" s="363"/>
    </row>
    <row r="477" spans="1:15" ht="14.5">
      <c r="A477" s="363"/>
      <c r="B477" s="347"/>
      <c r="C477" s="347"/>
      <c r="D477" s="347"/>
      <c r="E477"/>
      <c r="F477" s="347"/>
      <c r="G477" s="363"/>
      <c r="H477" s="363"/>
      <c r="I477" s="363"/>
      <c r="J477" s="363"/>
      <c r="K477" s="363"/>
      <c r="L477" s="363"/>
      <c r="M477" s="363"/>
      <c r="N477" s="363"/>
      <c r="O477" s="363"/>
    </row>
    <row r="478" spans="1:15" ht="14.5">
      <c r="A478" s="363"/>
      <c r="B478" s="347"/>
      <c r="C478" s="347"/>
      <c r="D478" s="347"/>
      <c r="E478"/>
      <c r="F478" s="347"/>
      <c r="G478" s="363"/>
      <c r="H478" s="363"/>
      <c r="I478" s="363"/>
      <c r="J478" s="363"/>
      <c r="K478" s="363"/>
      <c r="L478" s="363"/>
      <c r="M478" s="363"/>
      <c r="N478" s="363"/>
      <c r="O478" s="363"/>
    </row>
    <row r="479" spans="1:15" ht="14.5">
      <c r="A479" s="346" t="s">
        <v>3526</v>
      </c>
      <c r="B479" s="422" t="s">
        <v>3705</v>
      </c>
      <c r="C479" s="372"/>
      <c r="D479" s="372"/>
      <c r="E479" s="363"/>
      <c r="F479" s="363"/>
      <c r="G479" s="363"/>
      <c r="H479" s="522" t="s">
        <v>3981</v>
      </c>
      <c r="I479" s="522" t="s">
        <v>3982</v>
      </c>
      <c r="J479" s="522" t="s">
        <v>166</v>
      </c>
      <c r="K479" s="701" t="s">
        <v>4035</v>
      </c>
      <c r="L479" s="701"/>
      <c r="M479" s="522" t="s">
        <v>4068</v>
      </c>
      <c r="N479" s="523" t="s">
        <v>4034</v>
      </c>
      <c r="O479" s="523" t="s">
        <v>4036</v>
      </c>
    </row>
    <row r="480" spans="1:15" ht="58">
      <c r="A480" s="346"/>
      <c r="B480" s="423" t="s">
        <v>3732</v>
      </c>
      <c r="C480" s="64">
        <v>36.700000000000003</v>
      </c>
      <c r="D480" s="296" t="s">
        <v>38</v>
      </c>
      <c r="E480" s="423" t="s">
        <v>3730</v>
      </c>
      <c r="F480" s="296" t="s">
        <v>229</v>
      </c>
      <c r="G480" s="363"/>
      <c r="H480" s="524" t="s">
        <v>3983</v>
      </c>
      <c r="I480" s="523">
        <f>K480*10^-3*$C$481</f>
        <v>7.7</v>
      </c>
      <c r="J480" s="523" t="s">
        <v>3984</v>
      </c>
      <c r="K480" s="523">
        <v>7</v>
      </c>
      <c r="L480" s="523" t="s">
        <v>4070</v>
      </c>
      <c r="M480" s="523" t="s">
        <v>4069</v>
      </c>
      <c r="N480" s="525" t="s">
        <v>4018</v>
      </c>
      <c r="O480" s="525" t="s">
        <v>54</v>
      </c>
    </row>
    <row r="481" spans="1:15" ht="14.5">
      <c r="A481" s="346"/>
      <c r="B481" s="423" t="s">
        <v>3733</v>
      </c>
      <c r="C481" s="64">
        <v>1100</v>
      </c>
      <c r="D481" s="296" t="s">
        <v>38</v>
      </c>
      <c r="E481" s="423" t="s">
        <v>3731</v>
      </c>
      <c r="F481" s="296" t="s">
        <v>229</v>
      </c>
      <c r="G481" s="363"/>
      <c r="H481" s="524" t="s">
        <v>3985</v>
      </c>
      <c r="I481" s="523">
        <f>(0.5*$C$493+0.5*$C$481)*K481*10^-3</f>
        <v>27.231999999999999</v>
      </c>
      <c r="J481" s="523" t="s">
        <v>3984</v>
      </c>
      <c r="K481" s="523">
        <v>32</v>
      </c>
      <c r="L481" s="523" t="s">
        <v>4070</v>
      </c>
      <c r="M481" s="523" t="s">
        <v>4069</v>
      </c>
      <c r="N481" s="525" t="s">
        <v>4019</v>
      </c>
      <c r="O481" s="523" t="s">
        <v>3986</v>
      </c>
    </row>
    <row r="482" spans="1:15" ht="14.5">
      <c r="A482" s="363"/>
      <c r="B482" s="64" t="s">
        <v>3734</v>
      </c>
      <c r="C482" s="64">
        <f>AVERAGE(C495:C496)</f>
        <v>473</v>
      </c>
      <c r="D482" s="296" t="s">
        <v>38</v>
      </c>
      <c r="E482" s="64" t="s">
        <v>3740</v>
      </c>
      <c r="F482" s="296" t="s">
        <v>229</v>
      </c>
      <c r="G482" s="363"/>
      <c r="H482" s="524" t="s">
        <v>3987</v>
      </c>
      <c r="I482" s="523">
        <f>($C$481*2/3+$C$494*1/3)*K482*10^-3</f>
        <v>9.15</v>
      </c>
      <c r="J482" s="523" t="s">
        <v>3984</v>
      </c>
      <c r="K482" s="523">
        <v>5</v>
      </c>
      <c r="L482" s="523" t="s">
        <v>4070</v>
      </c>
      <c r="M482" s="523" t="s">
        <v>4069</v>
      </c>
      <c r="N482" s="525"/>
      <c r="O482" s="526" t="s">
        <v>4038</v>
      </c>
    </row>
    <row r="483" spans="1:15" ht="14.5">
      <c r="A483" s="363"/>
      <c r="B483" s="64" t="s">
        <v>3735</v>
      </c>
      <c r="C483" s="64">
        <f>AVERAGE(C497:C498)</f>
        <v>430</v>
      </c>
      <c r="D483" s="296" t="s">
        <v>38</v>
      </c>
      <c r="E483" s="64" t="s">
        <v>3740</v>
      </c>
      <c r="F483" s="296" t="s">
        <v>229</v>
      </c>
      <c r="G483" s="363"/>
      <c r="H483" s="524" t="s">
        <v>3988</v>
      </c>
      <c r="I483" s="523">
        <f>K483*10^-3*$C$481</f>
        <v>66</v>
      </c>
      <c r="J483" s="523" t="s">
        <v>3984</v>
      </c>
      <c r="K483" s="523">
        <v>60</v>
      </c>
      <c r="L483" s="523"/>
      <c r="M483" s="523" t="s">
        <v>4069</v>
      </c>
      <c r="N483" s="525" t="s">
        <v>4020</v>
      </c>
      <c r="O483" s="526" t="s">
        <v>54</v>
      </c>
    </row>
    <row r="484" spans="1:15" ht="14.5">
      <c r="A484" s="363"/>
      <c r="B484" s="64" t="s">
        <v>3736</v>
      </c>
      <c r="C484" s="64">
        <f>AVERAGE(C499:C500)</f>
        <v>843</v>
      </c>
      <c r="D484" s="296" t="s">
        <v>38</v>
      </c>
      <c r="E484" s="64" t="s">
        <v>3740</v>
      </c>
      <c r="F484" s="296" t="s">
        <v>229</v>
      </c>
      <c r="G484" s="363"/>
      <c r="H484" s="524" t="s">
        <v>3989</v>
      </c>
      <c r="I484" s="523">
        <f>K484*10^-3*$C$481</f>
        <v>7.15</v>
      </c>
      <c r="J484" s="523" t="s">
        <v>3984</v>
      </c>
      <c r="K484" s="523">
        <v>6.5</v>
      </c>
      <c r="L484" s="523" t="s">
        <v>4070</v>
      </c>
      <c r="M484" s="523" t="s">
        <v>4069</v>
      </c>
      <c r="N484" s="525" t="s">
        <v>4021</v>
      </c>
      <c r="O484" s="526" t="s">
        <v>54</v>
      </c>
    </row>
    <row r="485" spans="1:15" ht="29">
      <c r="A485" s="363"/>
      <c r="B485" s="64" t="s">
        <v>3737</v>
      </c>
      <c r="C485" s="64">
        <f>AVERAGE(C501:C502)</f>
        <v>488.5</v>
      </c>
      <c r="D485" s="296" t="s">
        <v>38</v>
      </c>
      <c r="E485" s="64" t="s">
        <v>3740</v>
      </c>
      <c r="F485" s="296" t="s">
        <v>229</v>
      </c>
      <c r="G485" s="363"/>
      <c r="H485" s="524" t="s">
        <v>3990</v>
      </c>
      <c r="I485" s="523">
        <f>K485*10^-3*$C$493</f>
        <v>1.5050000000000001</v>
      </c>
      <c r="J485" s="523" t="s">
        <v>3984</v>
      </c>
      <c r="K485" s="523">
        <v>2.5</v>
      </c>
      <c r="L485" s="523"/>
      <c r="M485" s="523" t="s">
        <v>4069</v>
      </c>
      <c r="N485" s="525" t="s">
        <v>4022</v>
      </c>
      <c r="O485" s="526" t="s">
        <v>3978</v>
      </c>
    </row>
    <row r="486" spans="1:15" ht="14.5">
      <c r="A486" s="363"/>
      <c r="B486" s="64" t="s">
        <v>3738</v>
      </c>
      <c r="C486" s="64">
        <f>AVERAGE(C503,C505)</f>
        <v>541</v>
      </c>
      <c r="D486" s="296" t="s">
        <v>38</v>
      </c>
      <c r="E486" s="64" t="s">
        <v>3740</v>
      </c>
      <c r="F486" s="296" t="s">
        <v>229</v>
      </c>
      <c r="G486" s="363"/>
      <c r="H486" s="524" t="s">
        <v>3991</v>
      </c>
      <c r="I486" s="523">
        <f>K486*10^-3*$C$494</f>
        <v>3.29</v>
      </c>
      <c r="J486" s="523" t="s">
        <v>3984</v>
      </c>
      <c r="K486" s="523">
        <v>1</v>
      </c>
      <c r="L486" s="523" t="s">
        <v>4070</v>
      </c>
      <c r="M486" s="523" t="s">
        <v>4069</v>
      </c>
      <c r="N486" s="525" t="s">
        <v>4023</v>
      </c>
      <c r="O486" s="526" t="s">
        <v>3979</v>
      </c>
    </row>
    <row r="487" spans="1:15" ht="14.5">
      <c r="A487" s="363"/>
      <c r="B487" s="64" t="s">
        <v>3739</v>
      </c>
      <c r="C487" s="64">
        <f>AVERAGE(C504,C506)</f>
        <v>515</v>
      </c>
      <c r="D487" s="296" t="s">
        <v>38</v>
      </c>
      <c r="E487" s="64" t="s">
        <v>3740</v>
      </c>
      <c r="F487" s="296" t="s">
        <v>229</v>
      </c>
      <c r="G487" s="363"/>
      <c r="H487" s="524" t="s">
        <v>3992</v>
      </c>
      <c r="I487" s="523">
        <f>K487*10^-3*$C$481</f>
        <v>4.4000000000000004</v>
      </c>
      <c r="J487" s="523" t="s">
        <v>3984</v>
      </c>
      <c r="K487" s="523">
        <v>4</v>
      </c>
      <c r="L487" s="523" t="s">
        <v>4070</v>
      </c>
      <c r="M487" s="523" t="s">
        <v>4069</v>
      </c>
      <c r="N487" s="525" t="s">
        <v>4024</v>
      </c>
      <c r="O487" s="526" t="s">
        <v>4037</v>
      </c>
    </row>
    <row r="488" spans="1:15" ht="43.5">
      <c r="A488" s="363"/>
      <c r="B488" s="296" t="s">
        <v>3538</v>
      </c>
      <c r="C488" s="64">
        <v>2210</v>
      </c>
      <c r="D488" s="296" t="s">
        <v>38</v>
      </c>
      <c r="E488" s="296"/>
      <c r="F488" s="296" t="s">
        <v>229</v>
      </c>
      <c r="G488" s="363"/>
      <c r="H488" s="524" t="s">
        <v>3993</v>
      </c>
      <c r="I488" s="523">
        <f>K488*10^-3*$C$481</f>
        <v>22</v>
      </c>
      <c r="J488" s="523" t="s">
        <v>3984</v>
      </c>
      <c r="K488" s="523">
        <v>20</v>
      </c>
      <c r="L488" s="523"/>
      <c r="M488" s="523" t="s">
        <v>4069</v>
      </c>
      <c r="N488" s="525" t="s">
        <v>4025</v>
      </c>
      <c r="O488" s="526" t="s">
        <v>4037</v>
      </c>
    </row>
    <row r="489" spans="1:15" ht="43.5">
      <c r="A489" s="363"/>
      <c r="B489" s="296" t="s">
        <v>3540</v>
      </c>
      <c r="C489" s="64">
        <v>7800</v>
      </c>
      <c r="D489" s="296" t="s">
        <v>38</v>
      </c>
      <c r="E489" s="296"/>
      <c r="F489" s="296" t="s">
        <v>229</v>
      </c>
      <c r="G489" s="363"/>
      <c r="H489" s="524" t="s">
        <v>3994</v>
      </c>
      <c r="I489" s="523">
        <f>K489*10^-3*$C$481</f>
        <v>275</v>
      </c>
      <c r="J489" s="523" t="s">
        <v>3984</v>
      </c>
      <c r="K489" s="523">
        <v>250</v>
      </c>
      <c r="L489" s="523"/>
      <c r="M489" s="523" t="s">
        <v>4069</v>
      </c>
      <c r="N489" s="525" t="s">
        <v>4026</v>
      </c>
      <c r="O489" s="526" t="s">
        <v>4037</v>
      </c>
    </row>
    <row r="490" spans="1:15" ht="14.5">
      <c r="A490" s="363"/>
      <c r="B490" s="296" t="s">
        <v>3555</v>
      </c>
      <c r="C490" s="64">
        <v>2383</v>
      </c>
      <c r="D490" s="296" t="s">
        <v>38</v>
      </c>
      <c r="E490" s="296"/>
      <c r="F490" s="296" t="s">
        <v>229</v>
      </c>
      <c r="G490" s="363"/>
      <c r="H490" s="524" t="s">
        <v>4004</v>
      </c>
      <c r="I490" s="523">
        <f>K490*10^-3*$C$481</f>
        <v>660</v>
      </c>
      <c r="J490" s="523" t="s">
        <v>3984</v>
      </c>
      <c r="K490" s="523">
        <v>600</v>
      </c>
      <c r="L490" s="523"/>
      <c r="M490" s="523" t="s">
        <v>4069</v>
      </c>
      <c r="N490" s="525" t="s">
        <v>4027</v>
      </c>
      <c r="O490" s="526" t="s">
        <v>4037</v>
      </c>
    </row>
    <row r="491" spans="1:15" ht="14.5">
      <c r="A491" s="363"/>
      <c r="B491" s="296" t="s">
        <v>3545</v>
      </c>
      <c r="C491" s="64">
        <v>9170</v>
      </c>
      <c r="D491" s="296" t="s">
        <v>38</v>
      </c>
      <c r="E491" s="296"/>
      <c r="F491" s="296" t="s">
        <v>229</v>
      </c>
      <c r="G491" s="363"/>
      <c r="H491" s="524" t="s">
        <v>3995</v>
      </c>
      <c r="I491" s="523">
        <f>K491*10^-3*$C$481</f>
        <v>187</v>
      </c>
      <c r="J491" s="523" t="s">
        <v>3984</v>
      </c>
      <c r="K491" s="523">
        <v>170</v>
      </c>
      <c r="L491" s="523"/>
      <c r="M491" s="523" t="s">
        <v>4069</v>
      </c>
      <c r="N491" s="525" t="s">
        <v>4027</v>
      </c>
      <c r="O491" s="526" t="s">
        <v>4037</v>
      </c>
    </row>
    <row r="492" spans="1:15" ht="29">
      <c r="A492" s="363"/>
      <c r="B492" s="296" t="s">
        <v>3741</v>
      </c>
      <c r="C492" s="64">
        <v>7630</v>
      </c>
      <c r="D492" s="296" t="s">
        <v>38</v>
      </c>
      <c r="E492" s="296"/>
      <c r="F492" s="296" t="s">
        <v>229</v>
      </c>
      <c r="G492" s="363"/>
      <c r="H492" s="524" t="s">
        <v>3996</v>
      </c>
      <c r="I492" s="523">
        <f>K492*10^-3*$C$493</f>
        <v>1.806</v>
      </c>
      <c r="J492" s="523" t="s">
        <v>3984</v>
      </c>
      <c r="K492" s="523">
        <v>3</v>
      </c>
      <c r="L492" s="523" t="s">
        <v>4070</v>
      </c>
      <c r="M492" s="523" t="s">
        <v>4069</v>
      </c>
      <c r="N492" s="527" t="s">
        <v>4028</v>
      </c>
      <c r="O492" s="526" t="s">
        <v>3978</v>
      </c>
    </row>
    <row r="493" spans="1:15" ht="29">
      <c r="A493" s="363"/>
      <c r="B493" s="296" t="s">
        <v>3978</v>
      </c>
      <c r="C493" s="64">
        <v>602</v>
      </c>
      <c r="D493" s="296" t="s">
        <v>38</v>
      </c>
      <c r="E493" s="296"/>
      <c r="F493" s="296" t="s">
        <v>229</v>
      </c>
      <c r="G493" s="363"/>
      <c r="H493" s="524" t="s">
        <v>3997</v>
      </c>
      <c r="I493" s="523">
        <f>K493*10^-3*$C$493</f>
        <v>1.204</v>
      </c>
      <c r="J493" s="523" t="s">
        <v>3984</v>
      </c>
      <c r="K493" s="523">
        <v>2</v>
      </c>
      <c r="L493" s="523" t="s">
        <v>4070</v>
      </c>
      <c r="M493" s="523" t="s">
        <v>4069</v>
      </c>
      <c r="N493" s="525" t="s">
        <v>4029</v>
      </c>
      <c r="O493" s="526" t="s">
        <v>3978</v>
      </c>
    </row>
    <row r="494" spans="1:15" ht="29">
      <c r="A494" s="363"/>
      <c r="B494" s="296" t="s">
        <v>3979</v>
      </c>
      <c r="C494" s="64">
        <v>3290</v>
      </c>
      <c r="D494" s="296" t="s">
        <v>38</v>
      </c>
      <c r="E494" s="64" t="s">
        <v>3980</v>
      </c>
      <c r="F494" s="296" t="s">
        <v>229</v>
      </c>
      <c r="G494" s="363"/>
      <c r="H494" s="524" t="s">
        <v>3998</v>
      </c>
      <c r="I494" s="523">
        <f>K494*10^-3*$C$493</f>
        <v>0.90300000000000002</v>
      </c>
      <c r="J494" s="523" t="s">
        <v>3984</v>
      </c>
      <c r="K494" s="523">
        <v>1.5</v>
      </c>
      <c r="L494" s="523" t="s">
        <v>4070</v>
      </c>
      <c r="M494" s="523" t="s">
        <v>4069</v>
      </c>
      <c r="N494" s="525" t="s">
        <v>4030</v>
      </c>
      <c r="O494" s="526" t="s">
        <v>3978</v>
      </c>
    </row>
    <row r="495" spans="1:15" ht="14.5">
      <c r="A495" s="363"/>
      <c r="B495" s="64" t="s">
        <v>3710</v>
      </c>
      <c r="C495" s="64">
        <v>531</v>
      </c>
      <c r="D495" s="296" t="s">
        <v>38</v>
      </c>
      <c r="E495" s="64" t="s">
        <v>3711</v>
      </c>
      <c r="F495" s="296" t="s">
        <v>229</v>
      </c>
      <c r="G495" s="363"/>
      <c r="H495" s="524" t="s">
        <v>3999</v>
      </c>
      <c r="I495" s="523">
        <f>K495*10^-3*$C$493</f>
        <v>3.6120000000000001</v>
      </c>
      <c r="J495" s="523" t="s">
        <v>3984</v>
      </c>
      <c r="K495" s="523">
        <v>6</v>
      </c>
      <c r="L495" s="523"/>
      <c r="M495" s="523" t="s">
        <v>4069</v>
      </c>
      <c r="N495" s="525"/>
      <c r="O495" s="526" t="s">
        <v>3978</v>
      </c>
    </row>
    <row r="496" spans="1:15" ht="43.5">
      <c r="A496" s="363"/>
      <c r="B496" s="64" t="s">
        <v>3723</v>
      </c>
      <c r="C496" s="64">
        <v>415</v>
      </c>
      <c r="D496" s="296" t="s">
        <v>38</v>
      </c>
      <c r="E496" s="64" t="s">
        <v>3724</v>
      </c>
      <c r="F496" s="296" t="s">
        <v>229</v>
      </c>
      <c r="G496" s="363"/>
      <c r="H496" s="524" t="s">
        <v>4000</v>
      </c>
      <c r="I496" s="523">
        <f>K496*10^-3*$C$481</f>
        <v>0.32999999999999996</v>
      </c>
      <c r="J496" s="523" t="s">
        <v>3984</v>
      </c>
      <c r="K496" s="523">
        <v>0.3</v>
      </c>
      <c r="L496" s="523" t="s">
        <v>4070</v>
      </c>
      <c r="M496" s="523" t="s">
        <v>4069</v>
      </c>
      <c r="N496" s="525" t="s">
        <v>4031</v>
      </c>
      <c r="O496" s="526" t="s">
        <v>54</v>
      </c>
    </row>
    <row r="497" spans="1:15" ht="14.5">
      <c r="A497" s="363"/>
      <c r="B497" s="64" t="s">
        <v>3706</v>
      </c>
      <c r="C497" s="64">
        <v>376</v>
      </c>
      <c r="D497" s="296" t="s">
        <v>38</v>
      </c>
      <c r="E497" s="64" t="s">
        <v>3707</v>
      </c>
      <c r="F497" s="296" t="s">
        <v>229</v>
      </c>
      <c r="G497" s="363"/>
      <c r="H497" s="524" t="s">
        <v>4001</v>
      </c>
      <c r="I497" s="523">
        <f>K497*10^-3*$C$481</f>
        <v>8.8000000000000007</v>
      </c>
      <c r="J497" s="523" t="s">
        <v>3984</v>
      </c>
      <c r="K497" s="523">
        <v>8</v>
      </c>
      <c r="L497" s="523" t="s">
        <v>4070</v>
      </c>
      <c r="M497" s="523" t="s">
        <v>4069</v>
      </c>
      <c r="N497" s="525" t="s">
        <v>4032</v>
      </c>
      <c r="O497" s="526" t="s">
        <v>54</v>
      </c>
    </row>
    <row r="498" spans="1:15" ht="43.5">
      <c r="A498" s="363"/>
      <c r="B498" s="64" t="s">
        <v>3717</v>
      </c>
      <c r="C498" s="64">
        <v>484</v>
      </c>
      <c r="D498" s="296" t="s">
        <v>38</v>
      </c>
      <c r="E498" s="64" t="s">
        <v>3718</v>
      </c>
      <c r="F498" s="296" t="s">
        <v>229</v>
      </c>
      <c r="G498" s="363"/>
      <c r="H498" s="524" t="s">
        <v>4002</v>
      </c>
      <c r="I498" s="523">
        <f>(0.5*$C$481+0.5*$C$488)*K498*10^-3</f>
        <v>82.75</v>
      </c>
      <c r="J498" s="523" t="s">
        <v>3984</v>
      </c>
      <c r="K498" s="523">
        <v>50</v>
      </c>
      <c r="L498" s="523"/>
      <c r="M498" s="523" t="s">
        <v>4069</v>
      </c>
      <c r="N498" s="525" t="s">
        <v>4033</v>
      </c>
      <c r="O498" s="523" t="s">
        <v>4003</v>
      </c>
    </row>
    <row r="499" spans="1:15" ht="14.5">
      <c r="A499" s="363"/>
      <c r="B499" s="64" t="s">
        <v>3712</v>
      </c>
      <c r="C499" s="64">
        <v>838</v>
      </c>
      <c r="D499" s="296" t="s">
        <v>38</v>
      </c>
      <c r="E499" s="64" t="s">
        <v>3713</v>
      </c>
      <c r="F499" s="296" t="s">
        <v>229</v>
      </c>
      <c r="G499" s="363"/>
      <c r="H499" s="363"/>
      <c r="I499" s="363"/>
      <c r="J499" s="363"/>
      <c r="K499" s="363"/>
      <c r="L499" s="363"/>
      <c r="M499" s="363"/>
      <c r="N499" s="363"/>
      <c r="O499" s="363"/>
    </row>
    <row r="500" spans="1:15" ht="14.5">
      <c r="A500" s="363"/>
      <c r="B500" s="64" t="s">
        <v>3719</v>
      </c>
      <c r="C500" s="64">
        <v>848</v>
      </c>
      <c r="D500" s="296" t="s">
        <v>38</v>
      </c>
      <c r="E500" s="64" t="s">
        <v>3720</v>
      </c>
      <c r="F500" s="296" t="s">
        <v>229</v>
      </c>
      <c r="G500" s="363"/>
      <c r="H500" s="363"/>
      <c r="I500" s="363"/>
      <c r="J500" s="363"/>
      <c r="K500" s="363"/>
      <c r="L500" s="363"/>
      <c r="M500" s="363"/>
      <c r="N500" s="363"/>
      <c r="O500" s="363"/>
    </row>
    <row r="501" spans="1:15" ht="14.5">
      <c r="A501" s="363"/>
      <c r="B501" s="64" t="s">
        <v>3721</v>
      </c>
      <c r="C501" s="64">
        <v>488</v>
      </c>
      <c r="D501" s="296" t="s">
        <v>38</v>
      </c>
      <c r="E501" s="64" t="s">
        <v>3722</v>
      </c>
      <c r="F501" s="296" t="s">
        <v>229</v>
      </c>
      <c r="G501" s="363"/>
      <c r="H501" s="363"/>
      <c r="I501" s="363"/>
      <c r="J501" s="363"/>
      <c r="K501" s="363"/>
      <c r="L501" s="363"/>
      <c r="M501" s="363"/>
      <c r="N501" s="363"/>
      <c r="O501" s="363"/>
    </row>
    <row r="502" spans="1:15" ht="14.5">
      <c r="A502" s="363"/>
      <c r="B502" s="64" t="s">
        <v>3708</v>
      </c>
      <c r="C502" s="64">
        <v>489</v>
      </c>
      <c r="D502" s="296" t="s">
        <v>38</v>
      </c>
      <c r="E502" s="64" t="s">
        <v>3709</v>
      </c>
      <c r="F502" s="296" t="s">
        <v>229</v>
      </c>
      <c r="G502" s="363"/>
      <c r="H502" s="363"/>
      <c r="I502" s="363"/>
      <c r="J502" s="363"/>
      <c r="K502" s="363"/>
      <c r="L502" s="363"/>
      <c r="M502" s="363"/>
      <c r="N502" s="363"/>
      <c r="O502" s="363"/>
    </row>
    <row r="503" spans="1:15" ht="14.5">
      <c r="A503" s="363"/>
      <c r="B503" s="64" t="s">
        <v>3715</v>
      </c>
      <c r="C503" s="64">
        <v>540</v>
      </c>
      <c r="D503" s="296" t="s">
        <v>38</v>
      </c>
      <c r="E503" s="64" t="s">
        <v>3716</v>
      </c>
      <c r="F503" s="296" t="s">
        <v>229</v>
      </c>
      <c r="G503" s="363"/>
      <c r="H503" s="363"/>
      <c r="I503" s="363"/>
      <c r="J503" s="363"/>
      <c r="K503" s="363"/>
      <c r="L503" s="363"/>
      <c r="M503" s="363"/>
      <c r="N503" s="363"/>
      <c r="O503" s="363"/>
    </row>
    <row r="504" spans="1:15" ht="14.5">
      <c r="A504" s="363"/>
      <c r="B504" s="64" t="s">
        <v>3714</v>
      </c>
      <c r="C504" s="64">
        <v>514</v>
      </c>
      <c r="D504" s="296" t="s">
        <v>38</v>
      </c>
      <c r="E504" s="64" t="s">
        <v>3729</v>
      </c>
      <c r="F504" s="296" t="s">
        <v>229</v>
      </c>
      <c r="G504" s="363"/>
      <c r="H504" s="363"/>
      <c r="I504" s="363"/>
      <c r="J504" s="363"/>
      <c r="K504" s="363"/>
      <c r="L504" s="363"/>
      <c r="M504" s="363"/>
      <c r="N504" s="363"/>
      <c r="O504" s="363"/>
    </row>
    <row r="505" spans="1:15" ht="14.5">
      <c r="A505" s="363"/>
      <c r="B505" s="64" t="s">
        <v>3727</v>
      </c>
      <c r="C505" s="64">
        <v>542</v>
      </c>
      <c r="D505" s="296" t="s">
        <v>38</v>
      </c>
      <c r="E505" s="64" t="s">
        <v>3728</v>
      </c>
      <c r="F505" s="296" t="s">
        <v>229</v>
      </c>
      <c r="G505" s="363"/>
      <c r="H505" s="363"/>
      <c r="I505" s="363"/>
      <c r="J505" s="363"/>
      <c r="K505" s="363"/>
      <c r="L505" s="363"/>
      <c r="M505" s="363"/>
      <c r="N505" s="363"/>
      <c r="O505" s="363"/>
    </row>
    <row r="506" spans="1:15" ht="14.5">
      <c r="A506" s="363"/>
      <c r="B506" s="64" t="s">
        <v>3725</v>
      </c>
      <c r="C506" s="64">
        <v>516</v>
      </c>
      <c r="D506" s="296" t="s">
        <v>38</v>
      </c>
      <c r="E506" s="64" t="s">
        <v>3726</v>
      </c>
      <c r="F506" s="296" t="s">
        <v>229</v>
      </c>
      <c r="G506" s="363"/>
      <c r="H506" s="363"/>
      <c r="I506" s="363"/>
      <c r="J506" s="363"/>
      <c r="K506" s="363"/>
      <c r="L506" s="363"/>
      <c r="M506" s="363"/>
      <c r="N506" s="363"/>
      <c r="O506" s="363"/>
    </row>
    <row r="507" spans="1:15" ht="14.5">
      <c r="A507" s="363"/>
      <c r="B507" s="347"/>
      <c r="C507" s="347"/>
      <c r="D507" s="347"/>
      <c r="E507"/>
      <c r="F507" s="347"/>
      <c r="G507" s="363"/>
      <c r="H507" s="363"/>
      <c r="I507" s="363"/>
      <c r="J507" s="363"/>
      <c r="K507" s="363"/>
      <c r="L507" s="363"/>
      <c r="M507" s="363"/>
      <c r="N507" s="363"/>
      <c r="O507" s="363"/>
    </row>
    <row r="508" spans="1:15" ht="14.5">
      <c r="A508" s="363"/>
      <c r="B508" s="347"/>
      <c r="C508" s="347"/>
      <c r="D508" s="347"/>
      <c r="E508"/>
      <c r="F508" s="347"/>
      <c r="G508" s="363"/>
      <c r="H508" s="363"/>
      <c r="I508" s="363"/>
      <c r="J508" s="363"/>
      <c r="K508" s="363"/>
      <c r="L508" s="363"/>
      <c r="M508" s="363"/>
      <c r="N508" s="363"/>
      <c r="O508" s="363"/>
    </row>
    <row r="509" spans="1:15" ht="14.5">
      <c r="A509" s="363"/>
      <c r="B509" s="347"/>
      <c r="C509" s="347"/>
      <c r="D509" s="347"/>
      <c r="E509"/>
      <c r="F509" s="347"/>
      <c r="G509" s="363"/>
      <c r="H509" s="363"/>
      <c r="I509" s="363"/>
      <c r="J509" s="363"/>
      <c r="K509" s="363"/>
      <c r="L509" s="363"/>
      <c r="M509" s="363"/>
      <c r="N509" s="363"/>
      <c r="O509" s="363"/>
    </row>
    <row r="510" spans="1:15" ht="14.5">
      <c r="A510" s="363"/>
      <c r="B510" s="347"/>
      <c r="C510" s="347"/>
      <c r="D510" s="347"/>
      <c r="E510"/>
      <c r="F510" s="347"/>
      <c r="G510" s="363"/>
      <c r="H510" s="363"/>
      <c r="I510" s="363"/>
      <c r="J510" s="363"/>
      <c r="K510" s="363"/>
      <c r="L510" s="363"/>
      <c r="M510" s="363"/>
      <c r="N510" s="363"/>
      <c r="O510" s="363"/>
    </row>
    <row r="511" spans="1:15" ht="14.5">
      <c r="A511" s="363"/>
      <c r="B511" s="347"/>
      <c r="C511" s="347"/>
      <c r="D511" s="347"/>
      <c r="E511"/>
      <c r="F511" s="347"/>
      <c r="G511" s="363"/>
      <c r="H511" s="363"/>
      <c r="I511" s="363"/>
      <c r="J511" s="363"/>
      <c r="K511" s="363"/>
      <c r="L511" s="363"/>
      <c r="M511" s="363"/>
      <c r="N511" s="363"/>
      <c r="O511" s="363"/>
    </row>
    <row r="512" spans="1:15" ht="14.5">
      <c r="A512" s="363"/>
      <c r="B512" s="422" t="s">
        <v>3880</v>
      </c>
      <c r="D512" s="347"/>
      <c r="E512"/>
      <c r="F512" s="347"/>
      <c r="G512" s="363"/>
      <c r="H512" s="363"/>
      <c r="I512" s="363"/>
      <c r="J512" s="363"/>
      <c r="K512" s="363"/>
      <c r="L512" s="363"/>
      <c r="M512" s="363"/>
      <c r="N512" s="363"/>
      <c r="O512" s="363"/>
    </row>
    <row r="513" spans="1:15" ht="17">
      <c r="A513" s="363"/>
      <c r="B513" s="463" t="s">
        <v>3882</v>
      </c>
      <c r="C513" s="296">
        <v>907</v>
      </c>
      <c r="D513" s="296" t="s">
        <v>37</v>
      </c>
      <c r="E513" s="64" t="s">
        <v>3766</v>
      </c>
      <c r="F513" s="347"/>
      <c r="G513" s="363"/>
      <c r="H513" s="363"/>
      <c r="I513" s="363"/>
      <c r="J513" s="363"/>
      <c r="K513" s="363"/>
      <c r="L513" s="363"/>
      <c r="M513" s="363"/>
      <c r="N513" s="363"/>
      <c r="O513" s="363"/>
    </row>
    <row r="514" spans="1:15" ht="17">
      <c r="A514" s="363"/>
      <c r="B514" s="463" t="s">
        <v>3883</v>
      </c>
      <c r="C514" s="296">
        <v>197</v>
      </c>
      <c r="D514" s="296" t="s">
        <v>37</v>
      </c>
      <c r="E514" s="64" t="s">
        <v>3766</v>
      </c>
      <c r="F514" s="347"/>
      <c r="G514" s="363"/>
      <c r="H514" s="363"/>
      <c r="I514" s="363"/>
      <c r="J514" s="363"/>
      <c r="K514" s="363"/>
      <c r="L514" s="363"/>
      <c r="M514" s="363"/>
      <c r="N514" s="363"/>
      <c r="O514" s="363"/>
    </row>
    <row r="515" spans="1:15" ht="17">
      <c r="A515" s="363"/>
      <c r="B515" s="463" t="s">
        <v>3884</v>
      </c>
      <c r="C515" s="296">
        <v>182</v>
      </c>
      <c r="D515" s="296" t="s">
        <v>37</v>
      </c>
      <c r="E515" s="64" t="s">
        <v>3766</v>
      </c>
      <c r="F515" s="347"/>
      <c r="G515" s="363"/>
      <c r="H515" s="363"/>
      <c r="I515" s="363"/>
      <c r="J515" s="363"/>
      <c r="K515" s="363"/>
      <c r="L515" s="363"/>
      <c r="M515" s="363"/>
      <c r="N515" s="363"/>
      <c r="O515" s="363"/>
    </row>
    <row r="516" spans="1:15" ht="17">
      <c r="A516" s="363"/>
      <c r="B516" s="463" t="s">
        <v>3885</v>
      </c>
      <c r="C516" s="296">
        <v>179</v>
      </c>
      <c r="D516" s="296" t="s">
        <v>37</v>
      </c>
      <c r="E516" s="64" t="s">
        <v>3766</v>
      </c>
      <c r="F516" s="347"/>
      <c r="G516" s="363"/>
      <c r="H516" s="363"/>
      <c r="I516" s="363"/>
      <c r="J516" s="363"/>
      <c r="K516" s="363"/>
      <c r="L516" s="363"/>
      <c r="M516" s="363"/>
      <c r="N516" s="363"/>
      <c r="O516" s="363"/>
    </row>
    <row r="517" spans="1:15" ht="17">
      <c r="A517" s="363"/>
      <c r="B517" s="463" t="s">
        <v>3886</v>
      </c>
      <c r="C517" s="296">
        <v>18.600000000000001</v>
      </c>
      <c r="D517" s="296" t="s">
        <v>37</v>
      </c>
      <c r="E517" s="64" t="s">
        <v>3766</v>
      </c>
      <c r="F517" s="347"/>
      <c r="G517" s="363"/>
      <c r="H517" s="363"/>
      <c r="I517" s="363"/>
      <c r="J517" s="363"/>
      <c r="K517" s="363"/>
      <c r="L517" s="363"/>
      <c r="M517" s="363"/>
      <c r="N517" s="363"/>
      <c r="O517" s="363"/>
    </row>
    <row r="518" spans="1:15" ht="17">
      <c r="A518" s="363"/>
      <c r="B518" s="463" t="s">
        <v>3887</v>
      </c>
      <c r="C518" s="296">
        <v>24.8</v>
      </c>
      <c r="D518" s="296" t="s">
        <v>37</v>
      </c>
      <c r="E518" s="64" t="s">
        <v>3766</v>
      </c>
      <c r="F518" s="347"/>
      <c r="G518" s="363"/>
      <c r="H518" s="363"/>
      <c r="I518" s="363"/>
      <c r="J518" s="363"/>
      <c r="K518" s="363"/>
      <c r="L518" s="363"/>
      <c r="M518" s="363"/>
      <c r="N518" s="363"/>
      <c r="O518" s="363"/>
    </row>
    <row r="519" spans="1:15" ht="17">
      <c r="A519" s="363"/>
      <c r="B519" s="463" t="s">
        <v>3888</v>
      </c>
      <c r="C519" s="296">
        <v>34.4</v>
      </c>
      <c r="D519" s="296" t="s">
        <v>37</v>
      </c>
      <c r="E519" s="64" t="s">
        <v>3766</v>
      </c>
      <c r="F519" s="347"/>
      <c r="G519" s="363"/>
      <c r="H519" s="363"/>
      <c r="I519" s="363"/>
      <c r="J519" s="363"/>
      <c r="K519" s="363"/>
      <c r="L519" s="363"/>
      <c r="M519" s="363"/>
      <c r="N519" s="363"/>
      <c r="O519" s="363"/>
    </row>
    <row r="520" spans="1:15" ht="17">
      <c r="A520" s="363"/>
      <c r="B520" s="463" t="s">
        <v>3889</v>
      </c>
      <c r="C520" s="296">
        <v>285</v>
      </c>
      <c r="D520" s="296" t="s">
        <v>37</v>
      </c>
      <c r="E520" s="64" t="s">
        <v>3766</v>
      </c>
      <c r="F520" s="347"/>
      <c r="G520" s="363"/>
      <c r="H520" s="363"/>
      <c r="I520" s="363"/>
      <c r="J520" s="363"/>
      <c r="K520" s="363"/>
      <c r="L520" s="363"/>
      <c r="M520" s="363"/>
      <c r="N520" s="363"/>
      <c r="O520" s="363"/>
    </row>
    <row r="521" spans="1:15" ht="17">
      <c r="A521" s="363"/>
      <c r="B521" s="463" t="s">
        <v>3890</v>
      </c>
      <c r="C521" s="296">
        <v>80.2</v>
      </c>
      <c r="D521" s="296" t="s">
        <v>37</v>
      </c>
      <c r="E521" s="64" t="s">
        <v>3766</v>
      </c>
      <c r="F521" s="347"/>
      <c r="G521" s="363"/>
      <c r="H521" s="363"/>
      <c r="I521" s="363"/>
      <c r="J521" s="363"/>
      <c r="K521" s="363"/>
      <c r="L521" s="363"/>
      <c r="M521" s="363"/>
      <c r="N521" s="363"/>
      <c r="O521" s="363"/>
    </row>
    <row r="522" spans="1:15" ht="17">
      <c r="A522" s="363"/>
      <c r="B522" s="463" t="s">
        <v>3891</v>
      </c>
      <c r="C522" s="296">
        <v>60.1</v>
      </c>
      <c r="D522" s="296" t="s">
        <v>37</v>
      </c>
      <c r="E522" s="64" t="s">
        <v>3766</v>
      </c>
      <c r="F522" s="347"/>
      <c r="G522" s="363"/>
      <c r="H522" s="363"/>
      <c r="I522" s="363"/>
      <c r="J522" s="363"/>
      <c r="K522" s="363"/>
      <c r="L522" s="363"/>
      <c r="M522" s="363"/>
      <c r="N522" s="363"/>
      <c r="O522" s="363"/>
    </row>
    <row r="523" spans="1:15">
      <c r="A523" s="363"/>
      <c r="B523" s="347"/>
      <c r="C523" s="347"/>
      <c r="D523" s="347"/>
      <c r="E523" s="347"/>
      <c r="F523" s="347"/>
      <c r="G523" s="363"/>
      <c r="H523" s="363"/>
      <c r="I523" s="363"/>
      <c r="J523" s="363"/>
      <c r="K523" s="363"/>
      <c r="L523" s="363"/>
      <c r="M523" s="363"/>
      <c r="N523" s="363"/>
      <c r="O523" s="363"/>
    </row>
    <row r="524" spans="1:15">
      <c r="A524" s="363"/>
      <c r="B524" s="347"/>
      <c r="C524" s="347"/>
      <c r="D524" s="347"/>
      <c r="E524" s="347"/>
      <c r="F524" s="347"/>
      <c r="G524" s="363"/>
      <c r="H524" s="363"/>
      <c r="I524" s="363"/>
      <c r="J524" s="363"/>
      <c r="K524" s="363"/>
      <c r="L524" s="363"/>
      <c r="M524" s="363"/>
      <c r="N524" s="363"/>
      <c r="O524" s="363"/>
    </row>
    <row r="525" spans="1:15">
      <c r="A525" s="363"/>
      <c r="B525" s="347"/>
      <c r="C525" s="347"/>
      <c r="D525" s="347"/>
      <c r="E525" s="347"/>
      <c r="F525" s="347"/>
      <c r="G525" s="363"/>
      <c r="H525" s="363"/>
      <c r="I525" s="363"/>
      <c r="J525" s="363"/>
      <c r="K525" s="363"/>
      <c r="L525" s="363"/>
      <c r="M525" s="363"/>
      <c r="N525" s="363"/>
      <c r="O525" s="363"/>
    </row>
    <row r="526" spans="1:15">
      <c r="A526" s="363"/>
      <c r="B526" s="347"/>
      <c r="C526" s="347"/>
      <c r="D526" s="347"/>
      <c r="E526" s="347"/>
      <c r="F526" s="347"/>
      <c r="G526" s="363"/>
      <c r="H526" s="363"/>
      <c r="I526" s="363"/>
      <c r="J526" s="363"/>
      <c r="K526" s="363"/>
      <c r="L526" s="363"/>
      <c r="M526" s="363"/>
      <c r="N526" s="363"/>
      <c r="O526" s="363"/>
    </row>
    <row r="527" spans="1:15">
      <c r="A527" s="363"/>
      <c r="B527" s="347"/>
      <c r="C527" s="347"/>
      <c r="D527" s="347"/>
      <c r="E527" s="347"/>
      <c r="F527" s="347"/>
      <c r="G527" s="363"/>
      <c r="H527" s="363"/>
      <c r="I527" s="363"/>
      <c r="J527" s="363"/>
      <c r="K527" s="363"/>
      <c r="L527" s="363"/>
      <c r="M527" s="363"/>
      <c r="N527" s="363"/>
      <c r="O527" s="363"/>
    </row>
    <row r="528" spans="1:15">
      <c r="A528" s="363"/>
      <c r="B528" s="363"/>
      <c r="C528" s="364"/>
      <c r="D528" s="363"/>
      <c r="E528" s="363"/>
      <c r="F528" s="363"/>
      <c r="G528" s="363"/>
      <c r="H528" s="363"/>
      <c r="I528" s="363"/>
      <c r="J528" s="363"/>
      <c r="K528" s="363"/>
      <c r="L528" s="363"/>
      <c r="M528" s="363"/>
      <c r="N528" s="363"/>
      <c r="O528" s="363"/>
    </row>
    <row r="529" spans="1:15">
      <c r="A529" s="346" t="s">
        <v>3487</v>
      </c>
      <c r="B529" s="271" t="s">
        <v>3436</v>
      </c>
      <c r="C529" s="364"/>
      <c r="D529" s="363"/>
      <c r="E529" s="363"/>
      <c r="F529" s="363"/>
      <c r="G529" s="363"/>
      <c r="H529" s="363"/>
      <c r="I529" s="363"/>
      <c r="J529" s="363"/>
      <c r="K529" s="363"/>
      <c r="L529" s="363"/>
      <c r="M529" s="363"/>
      <c r="N529" s="363"/>
      <c r="O529" s="363"/>
    </row>
    <row r="530" spans="1:15">
      <c r="A530" s="363"/>
      <c r="B530" s="296" t="s">
        <v>3560</v>
      </c>
      <c r="C530" s="296">
        <f>1830</f>
        <v>1830</v>
      </c>
      <c r="D530" s="296" t="s">
        <v>38</v>
      </c>
      <c r="E530" s="296" t="s">
        <v>229</v>
      </c>
      <c r="F530" s="347" t="s">
        <v>3559</v>
      </c>
      <c r="G530" s="363"/>
      <c r="H530" s="363"/>
      <c r="I530" s="363"/>
      <c r="J530" s="363"/>
      <c r="K530" s="363"/>
      <c r="L530" s="363"/>
      <c r="M530" s="363"/>
      <c r="N530" s="363"/>
      <c r="O530" s="363"/>
    </row>
    <row r="531" spans="1:15">
      <c r="A531" s="363"/>
      <c r="B531" s="296" t="s">
        <v>3538</v>
      </c>
      <c r="C531" s="296">
        <v>2210</v>
      </c>
      <c r="D531" s="296" t="s">
        <v>38</v>
      </c>
      <c r="E531" s="296" t="s">
        <v>229</v>
      </c>
      <c r="F531" s="363"/>
      <c r="G531" s="363"/>
      <c r="H531" s="363"/>
      <c r="I531" s="363"/>
      <c r="J531" s="363"/>
      <c r="K531" s="363"/>
      <c r="L531" s="363"/>
      <c r="M531" s="363"/>
      <c r="N531" s="363"/>
      <c r="O531" s="363"/>
    </row>
    <row r="532" spans="1:15">
      <c r="A532" s="363"/>
      <c r="B532" s="296" t="s">
        <v>3539</v>
      </c>
      <c r="C532" s="296">
        <v>938</v>
      </c>
      <c r="D532" s="296" t="s">
        <v>38</v>
      </c>
      <c r="E532" s="296" t="s">
        <v>229</v>
      </c>
      <c r="F532" s="363"/>
      <c r="G532" s="363"/>
      <c r="H532" s="363"/>
      <c r="I532" s="363"/>
      <c r="J532" s="363"/>
      <c r="K532" s="363"/>
      <c r="L532" s="363"/>
      <c r="M532" s="363"/>
      <c r="N532" s="363"/>
      <c r="O532" s="363"/>
    </row>
    <row r="533" spans="1:15">
      <c r="A533" s="363"/>
      <c r="B533" s="296" t="s">
        <v>3540</v>
      </c>
      <c r="C533" s="296">
        <v>7800</v>
      </c>
      <c r="D533" s="296" t="s">
        <v>38</v>
      </c>
      <c r="E533" s="296" t="s">
        <v>229</v>
      </c>
      <c r="F533" s="363"/>
      <c r="G533" s="363"/>
      <c r="H533" s="363"/>
      <c r="I533" s="363"/>
      <c r="J533" s="363"/>
      <c r="K533" s="363"/>
      <c r="L533" s="363"/>
      <c r="M533" s="363"/>
      <c r="N533" s="363"/>
      <c r="O533" s="363"/>
    </row>
    <row r="534" spans="1:15">
      <c r="A534" s="363"/>
      <c r="B534" s="296" t="s">
        <v>3541</v>
      </c>
      <c r="C534" s="296">
        <v>562</v>
      </c>
      <c r="D534" s="296" t="s">
        <v>38</v>
      </c>
      <c r="E534" s="296" t="s">
        <v>229</v>
      </c>
      <c r="F534" s="363"/>
      <c r="G534" s="363"/>
      <c r="H534" s="363"/>
      <c r="I534" s="363"/>
      <c r="J534" s="363"/>
      <c r="K534" s="363"/>
      <c r="L534" s="363"/>
      <c r="M534" s="363"/>
      <c r="N534" s="363"/>
      <c r="O534" s="363"/>
    </row>
    <row r="535" spans="1:15">
      <c r="A535" s="363"/>
      <c r="B535" s="296" t="s">
        <v>3542</v>
      </c>
      <c r="C535" s="296">
        <v>5193</v>
      </c>
      <c r="D535" s="296" t="s">
        <v>38</v>
      </c>
      <c r="E535" s="296" t="s">
        <v>229</v>
      </c>
      <c r="F535" s="363"/>
      <c r="G535" s="363"/>
      <c r="H535" s="363"/>
      <c r="I535" s="363"/>
      <c r="J535" s="363"/>
      <c r="K535" s="363"/>
      <c r="L535" s="363"/>
      <c r="M535" s="363"/>
      <c r="N535" s="363"/>
      <c r="O535" s="363"/>
    </row>
    <row r="536" spans="1:15">
      <c r="A536" s="363"/>
      <c r="B536" s="423" t="s">
        <v>3732</v>
      </c>
      <c r="C536" s="296">
        <f>C480</f>
        <v>36.700000000000003</v>
      </c>
      <c r="D536" s="296" t="s">
        <v>38</v>
      </c>
      <c r="E536" s="296" t="s">
        <v>229</v>
      </c>
      <c r="F536" s="363"/>
      <c r="G536" s="363"/>
      <c r="H536" s="363"/>
      <c r="I536" s="363"/>
      <c r="J536" s="363"/>
      <c r="K536" s="363"/>
      <c r="L536" s="363"/>
      <c r="M536" s="363"/>
      <c r="N536" s="363"/>
      <c r="O536" s="363"/>
    </row>
    <row r="537" spans="1:15">
      <c r="A537" s="363"/>
      <c r="B537" s="423" t="s">
        <v>3733</v>
      </c>
      <c r="C537" s="296">
        <f t="shared" ref="C537:C543" si="9">C481</f>
        <v>1100</v>
      </c>
      <c r="D537" s="296" t="s">
        <v>38</v>
      </c>
      <c r="E537" s="296" t="s">
        <v>229</v>
      </c>
      <c r="F537" s="363"/>
      <c r="G537" s="363"/>
      <c r="H537" s="363"/>
      <c r="I537" s="363"/>
      <c r="J537" s="363"/>
      <c r="K537" s="363"/>
      <c r="L537" s="363"/>
      <c r="M537" s="363"/>
      <c r="N537" s="363"/>
      <c r="O537" s="363"/>
    </row>
    <row r="538" spans="1:15" ht="14.5">
      <c r="A538" s="363"/>
      <c r="B538" s="64" t="s">
        <v>3734</v>
      </c>
      <c r="C538" s="296">
        <f t="shared" si="9"/>
        <v>473</v>
      </c>
      <c r="D538" s="296" t="s">
        <v>38</v>
      </c>
      <c r="E538" s="296" t="s">
        <v>3740</v>
      </c>
      <c r="F538" s="363"/>
      <c r="G538" s="363"/>
      <c r="H538" s="363"/>
      <c r="I538" s="363"/>
      <c r="J538" s="363"/>
      <c r="K538" s="363"/>
      <c r="L538" s="363"/>
      <c r="M538" s="363"/>
      <c r="N538" s="363"/>
      <c r="O538" s="363"/>
    </row>
    <row r="539" spans="1:15" ht="14.5">
      <c r="A539" s="363"/>
      <c r="B539" s="64" t="s">
        <v>3735</v>
      </c>
      <c r="C539" s="296">
        <f t="shared" si="9"/>
        <v>430</v>
      </c>
      <c r="D539" s="296" t="s">
        <v>38</v>
      </c>
      <c r="E539" s="296" t="s">
        <v>3740</v>
      </c>
      <c r="F539" s="363"/>
      <c r="G539" s="363"/>
      <c r="H539" s="363"/>
      <c r="I539" s="363"/>
      <c r="J539" s="363"/>
      <c r="K539" s="363"/>
      <c r="L539" s="363"/>
      <c r="M539" s="363"/>
      <c r="N539" s="363"/>
      <c r="O539" s="363"/>
    </row>
    <row r="540" spans="1:15" ht="14.5">
      <c r="A540" s="363"/>
      <c r="B540" s="64" t="s">
        <v>3736</v>
      </c>
      <c r="C540" s="296">
        <f t="shared" si="9"/>
        <v>843</v>
      </c>
      <c r="D540" s="296" t="s">
        <v>38</v>
      </c>
      <c r="E540" s="296" t="s">
        <v>3740</v>
      </c>
      <c r="F540" s="363"/>
      <c r="G540" s="363"/>
      <c r="H540" s="363"/>
      <c r="I540" s="363"/>
      <c r="J540" s="363"/>
      <c r="K540" s="363"/>
      <c r="L540" s="363"/>
      <c r="M540" s="363"/>
      <c r="N540" s="363"/>
      <c r="O540" s="363"/>
    </row>
    <row r="541" spans="1:15" ht="14.5">
      <c r="A541" s="363"/>
      <c r="B541" s="64" t="s">
        <v>3737</v>
      </c>
      <c r="C541" s="296">
        <f t="shared" si="9"/>
        <v>488.5</v>
      </c>
      <c r="D541" s="296" t="s">
        <v>38</v>
      </c>
      <c r="E541" s="296" t="s">
        <v>3740</v>
      </c>
      <c r="F541" s="363"/>
      <c r="G541" s="363"/>
      <c r="H541" s="363"/>
      <c r="I541" s="363"/>
      <c r="J541" s="363"/>
      <c r="K541" s="363"/>
      <c r="L541" s="363"/>
      <c r="M541" s="363"/>
      <c r="N541" s="363"/>
      <c r="O541" s="363"/>
    </row>
    <row r="542" spans="1:15" ht="14.5">
      <c r="A542" s="363"/>
      <c r="B542" s="64" t="s">
        <v>3738</v>
      </c>
      <c r="C542" s="296">
        <f t="shared" si="9"/>
        <v>541</v>
      </c>
      <c r="D542" s="296" t="s">
        <v>38</v>
      </c>
      <c r="E542" s="296" t="s">
        <v>3740</v>
      </c>
      <c r="F542" s="363"/>
      <c r="G542" s="363"/>
      <c r="H542" s="363"/>
      <c r="I542" s="363"/>
      <c r="J542" s="363"/>
      <c r="K542" s="363"/>
      <c r="L542" s="363"/>
      <c r="M542" s="363"/>
      <c r="N542" s="363"/>
      <c r="O542" s="363"/>
    </row>
    <row r="543" spans="1:15" ht="14.5">
      <c r="A543" s="363"/>
      <c r="B543" s="64" t="s">
        <v>3739</v>
      </c>
      <c r="C543" s="296">
        <f t="shared" si="9"/>
        <v>515</v>
      </c>
      <c r="D543" s="296" t="s">
        <v>38</v>
      </c>
      <c r="E543" s="296" t="s">
        <v>3740</v>
      </c>
      <c r="F543" s="363"/>
      <c r="G543" s="363"/>
      <c r="H543" s="363"/>
      <c r="I543" s="363"/>
      <c r="J543" s="363"/>
      <c r="K543" s="363"/>
      <c r="L543" s="363"/>
      <c r="M543" s="363"/>
      <c r="N543" s="363"/>
      <c r="O543" s="363"/>
    </row>
    <row r="544" spans="1:15">
      <c r="A544" s="363"/>
      <c r="B544" s="296" t="s">
        <v>3557</v>
      </c>
      <c r="C544" s="296">
        <v>390</v>
      </c>
      <c r="D544" s="296" t="s">
        <v>38</v>
      </c>
      <c r="E544" s="296" t="s">
        <v>229</v>
      </c>
      <c r="F544" s="363"/>
      <c r="G544" s="363"/>
      <c r="H544" s="363"/>
      <c r="I544" s="363"/>
      <c r="J544" s="363"/>
      <c r="K544" s="363"/>
      <c r="L544" s="363"/>
      <c r="M544" s="363"/>
      <c r="N544" s="363"/>
      <c r="O544" s="363"/>
    </row>
    <row r="545" spans="1:15">
      <c r="A545" s="363"/>
      <c r="B545" s="296" t="s">
        <v>3558</v>
      </c>
      <c r="C545" s="296">
        <v>670</v>
      </c>
      <c r="D545" s="296" t="s">
        <v>38</v>
      </c>
      <c r="E545" s="296" t="s">
        <v>229</v>
      </c>
      <c r="F545" s="363"/>
      <c r="G545" s="363"/>
      <c r="H545" s="363"/>
      <c r="I545" s="363"/>
      <c r="J545" s="363"/>
      <c r="K545" s="363"/>
      <c r="L545" s="363"/>
      <c r="M545" s="363"/>
      <c r="N545" s="363"/>
      <c r="O545" s="363"/>
    </row>
    <row r="546" spans="1:15">
      <c r="A546" s="363"/>
      <c r="B546" s="296" t="s">
        <v>3543</v>
      </c>
      <c r="C546" s="296">
        <v>1450</v>
      </c>
      <c r="D546" s="296" t="s">
        <v>38</v>
      </c>
      <c r="E546" s="296" t="s">
        <v>229</v>
      </c>
      <c r="F546" s="363"/>
      <c r="G546" s="363"/>
      <c r="H546" s="363"/>
      <c r="I546" s="363"/>
      <c r="J546" s="363"/>
      <c r="K546" s="363"/>
      <c r="L546" s="363"/>
      <c r="M546" s="363"/>
      <c r="N546" s="363"/>
      <c r="O546" s="363"/>
    </row>
    <row r="547" spans="1:15">
      <c r="A547" s="363"/>
      <c r="B547" s="296" t="s">
        <v>3544</v>
      </c>
      <c r="C547" s="296">
        <v>1300</v>
      </c>
      <c r="D547" s="296" t="s">
        <v>38</v>
      </c>
      <c r="E547" s="296" t="s">
        <v>229</v>
      </c>
      <c r="F547" s="363"/>
      <c r="G547" s="363"/>
      <c r="H547" s="363"/>
      <c r="I547" s="363"/>
      <c r="J547" s="363"/>
      <c r="K547" s="363"/>
      <c r="L547" s="363"/>
      <c r="M547" s="363"/>
      <c r="N547" s="363"/>
      <c r="O547" s="363"/>
    </row>
    <row r="548" spans="1:15">
      <c r="A548" s="363"/>
      <c r="B548" s="296" t="s">
        <v>3551</v>
      </c>
      <c r="C548" s="296">
        <v>2130</v>
      </c>
      <c r="D548" s="296" t="s">
        <v>38</v>
      </c>
      <c r="E548" s="296" t="s">
        <v>229</v>
      </c>
      <c r="F548" s="363"/>
      <c r="G548" s="363"/>
      <c r="H548" s="363"/>
      <c r="I548" s="363"/>
      <c r="J548" s="363"/>
      <c r="K548" s="363"/>
      <c r="L548" s="363"/>
      <c r="M548" s="363"/>
      <c r="N548" s="363"/>
      <c r="O548" s="363"/>
    </row>
    <row r="549" spans="1:15">
      <c r="A549" s="363"/>
      <c r="B549" s="296" t="s">
        <v>3552</v>
      </c>
      <c r="C549" s="296">
        <v>2130</v>
      </c>
      <c r="D549" s="296" t="s">
        <v>38</v>
      </c>
      <c r="E549" s="296" t="s">
        <v>229</v>
      </c>
      <c r="F549" s="363"/>
      <c r="G549" s="363"/>
      <c r="H549" s="363"/>
      <c r="I549" s="363"/>
      <c r="J549" s="363"/>
      <c r="K549" s="363"/>
      <c r="L549" s="363"/>
      <c r="M549" s="363"/>
      <c r="N549" s="363"/>
      <c r="O549" s="363"/>
    </row>
    <row r="550" spans="1:15">
      <c r="A550" s="363"/>
      <c r="B550" s="296" t="s">
        <v>3545</v>
      </c>
      <c r="C550" s="296">
        <v>9170</v>
      </c>
      <c r="D550" s="296" t="s">
        <v>38</v>
      </c>
      <c r="E550" s="296" t="s">
        <v>229</v>
      </c>
      <c r="F550" s="363"/>
      <c r="G550" s="363"/>
      <c r="H550" s="363"/>
      <c r="I550" s="363"/>
      <c r="J550" s="363"/>
      <c r="K550" s="363"/>
      <c r="L550" s="363"/>
      <c r="M550" s="363"/>
      <c r="N550" s="363"/>
      <c r="O550" s="363"/>
    </row>
    <row r="551" spans="1:15">
      <c r="A551" s="363"/>
      <c r="B551" s="296" t="s">
        <v>3546</v>
      </c>
      <c r="C551" s="296">
        <v>9170</v>
      </c>
      <c r="D551" s="296" t="s">
        <v>38</v>
      </c>
      <c r="E551" s="296" t="s">
        <v>229</v>
      </c>
      <c r="F551" s="363"/>
      <c r="G551" s="363"/>
      <c r="H551" s="363"/>
      <c r="I551" s="363"/>
      <c r="J551" s="363"/>
      <c r="K551" s="363"/>
      <c r="L551" s="363"/>
      <c r="M551" s="363"/>
      <c r="N551" s="363"/>
      <c r="O551" s="363"/>
    </row>
    <row r="552" spans="1:15">
      <c r="A552" s="363"/>
      <c r="B552" s="296" t="s">
        <v>3555</v>
      </c>
      <c r="C552" s="296">
        <v>2383</v>
      </c>
      <c r="D552" s="296" t="s">
        <v>38</v>
      </c>
      <c r="E552" s="296" t="s">
        <v>229</v>
      </c>
      <c r="F552" s="363"/>
      <c r="G552" s="363"/>
      <c r="H552" s="363"/>
      <c r="I552" s="363"/>
      <c r="J552" s="363"/>
      <c r="K552" s="363"/>
      <c r="L552" s="363"/>
      <c r="M552" s="363"/>
      <c r="N552" s="363"/>
      <c r="O552" s="363"/>
    </row>
    <row r="553" spans="1:15">
      <c r="A553" s="363"/>
      <c r="B553" s="296" t="s">
        <v>3556</v>
      </c>
      <c r="C553" s="296">
        <v>202</v>
      </c>
      <c r="D553" s="296" t="s">
        <v>38</v>
      </c>
      <c r="E553" s="296" t="s">
        <v>229</v>
      </c>
      <c r="F553" s="363"/>
      <c r="G553" s="363"/>
      <c r="H553" s="363"/>
      <c r="I553" s="363"/>
      <c r="J553" s="363"/>
      <c r="K553" s="363"/>
      <c r="L553" s="363"/>
      <c r="M553" s="363"/>
      <c r="N553" s="363"/>
      <c r="O553" s="363"/>
    </row>
    <row r="554" spans="1:15">
      <c r="A554" s="363"/>
      <c r="B554" s="296" t="s">
        <v>3547</v>
      </c>
      <c r="C554" s="296">
        <v>2090</v>
      </c>
      <c r="D554" s="296" t="s">
        <v>38</v>
      </c>
      <c r="E554" s="296" t="s">
        <v>229</v>
      </c>
      <c r="F554" s="363"/>
      <c r="G554" s="363"/>
      <c r="H554" s="363"/>
      <c r="I554" s="363"/>
      <c r="J554" s="363"/>
      <c r="K554" s="363"/>
      <c r="L554" s="363"/>
      <c r="M554" s="363"/>
      <c r="N554" s="363"/>
      <c r="O554" s="363"/>
    </row>
    <row r="555" spans="1:15">
      <c r="A555" s="363"/>
      <c r="B555" s="296" t="s">
        <v>3548</v>
      </c>
      <c r="C555" s="296">
        <v>2090</v>
      </c>
      <c r="D555" s="296" t="s">
        <v>38</v>
      </c>
      <c r="E555" s="296" t="s">
        <v>229</v>
      </c>
      <c r="F555" s="363"/>
      <c r="G555" s="363"/>
      <c r="H555" s="363"/>
      <c r="I555" s="363"/>
      <c r="J555" s="363"/>
      <c r="K555" s="363"/>
      <c r="L555" s="363"/>
      <c r="M555" s="363"/>
      <c r="N555" s="363"/>
      <c r="O555" s="363"/>
    </row>
    <row r="556" spans="1:15">
      <c r="A556" s="363"/>
      <c r="B556" s="296" t="s">
        <v>3553</v>
      </c>
      <c r="C556" s="296">
        <v>923</v>
      </c>
      <c r="D556" s="296" t="s">
        <v>38</v>
      </c>
      <c r="E556" s="296" t="s">
        <v>229</v>
      </c>
      <c r="F556" s="363"/>
      <c r="G556" s="363"/>
      <c r="H556" s="363"/>
      <c r="I556" s="363"/>
      <c r="J556" s="363"/>
      <c r="K556" s="363"/>
      <c r="L556" s="363"/>
      <c r="M556" s="363"/>
      <c r="N556" s="363"/>
      <c r="O556" s="363"/>
    </row>
    <row r="557" spans="1:15">
      <c r="A557" s="363"/>
      <c r="B557" s="296" t="s">
        <v>3554</v>
      </c>
      <c r="C557" s="296">
        <v>409</v>
      </c>
      <c r="D557" s="296" t="s">
        <v>38</v>
      </c>
      <c r="E557" s="296" t="s">
        <v>229</v>
      </c>
      <c r="F557" s="363"/>
      <c r="G557" s="363"/>
      <c r="H557" s="363"/>
      <c r="I557" s="363"/>
      <c r="J557" s="363"/>
      <c r="K557" s="363"/>
      <c r="L557" s="363"/>
      <c r="M557" s="363"/>
      <c r="N557" s="363"/>
      <c r="O557" s="363"/>
    </row>
    <row r="558" spans="1:15">
      <c r="A558" s="363"/>
      <c r="B558" s="296" t="s">
        <v>3549</v>
      </c>
      <c r="C558" s="296">
        <v>2930</v>
      </c>
      <c r="D558" s="296" t="s">
        <v>38</v>
      </c>
      <c r="E558" s="296" t="s">
        <v>229</v>
      </c>
      <c r="F558" s="363"/>
      <c r="G558" s="363"/>
      <c r="H558" s="363"/>
      <c r="I558" s="363"/>
      <c r="J558" s="363"/>
      <c r="K558" s="363"/>
      <c r="L558" s="363"/>
      <c r="M558" s="363"/>
      <c r="N558" s="363"/>
      <c r="O558" s="363"/>
    </row>
    <row r="559" spans="1:15">
      <c r="A559" s="363"/>
      <c r="B559" s="296" t="s">
        <v>3550</v>
      </c>
      <c r="C559" s="296">
        <v>2930</v>
      </c>
      <c r="D559" s="296" t="s">
        <v>38</v>
      </c>
      <c r="E559" s="296" t="s">
        <v>229</v>
      </c>
      <c r="F559" s="365"/>
      <c r="G559" s="363"/>
      <c r="H559" s="363"/>
      <c r="I559" s="363"/>
      <c r="J559" s="363"/>
      <c r="K559" s="363"/>
      <c r="L559" s="363"/>
      <c r="M559" s="363"/>
      <c r="N559" s="363"/>
      <c r="O559" s="363"/>
    </row>
    <row r="560" spans="1:15">
      <c r="A560" s="363"/>
      <c r="B560" s="296" t="s">
        <v>3485</v>
      </c>
      <c r="C560" s="296">
        <v>600</v>
      </c>
      <c r="D560" s="296" t="s">
        <v>274</v>
      </c>
      <c r="E560" s="296" t="s">
        <v>229</v>
      </c>
      <c r="F560" s="363"/>
      <c r="G560" s="363"/>
      <c r="H560" s="363"/>
      <c r="I560" s="363"/>
      <c r="J560" s="363"/>
      <c r="K560" s="363"/>
      <c r="L560" s="363"/>
      <c r="M560" s="363"/>
      <c r="N560" s="363"/>
      <c r="O560" s="363"/>
    </row>
    <row r="561" spans="1:15">
      <c r="A561" s="363"/>
      <c r="B561" s="347"/>
      <c r="C561" s="347"/>
      <c r="D561" s="347"/>
      <c r="E561" s="347"/>
      <c r="F561" s="363"/>
      <c r="G561" s="363"/>
      <c r="H561" s="363"/>
      <c r="I561" s="363"/>
      <c r="J561" s="363"/>
      <c r="K561" s="363"/>
      <c r="L561" s="363"/>
      <c r="M561" s="363"/>
      <c r="N561" s="363"/>
      <c r="O561" s="363"/>
    </row>
    <row r="562" spans="1:15">
      <c r="A562" s="363"/>
      <c r="B562" s="347"/>
      <c r="C562" s="347"/>
      <c r="D562" s="347"/>
      <c r="E562" s="347"/>
      <c r="F562" s="363"/>
      <c r="G562" s="363"/>
      <c r="H562" s="363"/>
      <c r="I562" s="363"/>
      <c r="J562" s="363"/>
      <c r="K562" s="363"/>
      <c r="L562" s="363"/>
      <c r="M562" s="363"/>
      <c r="N562" s="363"/>
      <c r="O562" s="363"/>
    </row>
    <row r="563" spans="1:15">
      <c r="A563" s="363"/>
      <c r="B563" s="347"/>
      <c r="C563" s="347"/>
      <c r="D563" s="347"/>
      <c r="E563" s="347"/>
      <c r="F563" s="363"/>
      <c r="G563" s="363"/>
      <c r="H563" s="363"/>
      <c r="I563" s="363"/>
      <c r="J563" s="363"/>
      <c r="K563" s="363"/>
      <c r="L563" s="363"/>
      <c r="M563" s="363"/>
      <c r="N563" s="363"/>
      <c r="O563" s="363"/>
    </row>
    <row r="564" spans="1:15">
      <c r="A564" s="363"/>
      <c r="B564" s="347"/>
      <c r="C564" s="347"/>
      <c r="D564" s="347"/>
      <c r="E564" s="347"/>
      <c r="F564" s="363"/>
      <c r="G564" s="363"/>
      <c r="H564" s="363"/>
      <c r="I564" s="363"/>
      <c r="J564" s="363"/>
      <c r="K564" s="363"/>
      <c r="L564" s="363"/>
      <c r="M564" s="363"/>
      <c r="N564" s="363"/>
      <c r="O564" s="363"/>
    </row>
    <row r="565" spans="1:15">
      <c r="A565" s="363"/>
      <c r="B565" s="422" t="s">
        <v>3765</v>
      </c>
      <c r="C565" s="364"/>
      <c r="D565" s="363"/>
      <c r="E565" s="363"/>
      <c r="F565" s="363"/>
      <c r="G565" s="363"/>
      <c r="H565" s="363"/>
      <c r="I565" s="363"/>
      <c r="J565" s="363"/>
      <c r="K565" s="363"/>
      <c r="L565" s="363"/>
      <c r="M565" s="363"/>
      <c r="N565" s="363"/>
      <c r="O565" s="363"/>
    </row>
    <row r="566" spans="1:15" ht="14.5">
      <c r="A566" s="363"/>
      <c r="B566" s="432" t="s">
        <v>3845</v>
      </c>
      <c r="C566" s="432">
        <v>0.58199999999999996</v>
      </c>
      <c r="D566" s="432" t="s">
        <v>33</v>
      </c>
      <c r="E566" s="432" t="s">
        <v>3766</v>
      </c>
      <c r="F566" s="363"/>
      <c r="G566" s="363"/>
      <c r="H566" s="363"/>
      <c r="I566" s="363"/>
      <c r="J566" s="363"/>
      <c r="K566" s="363"/>
      <c r="L566" s="363"/>
      <c r="M566" s="363"/>
      <c r="N566" s="363"/>
      <c r="O566" s="363"/>
    </row>
    <row r="567" spans="1:15" ht="14.5">
      <c r="A567" s="363"/>
      <c r="B567" s="432" t="s">
        <v>3767</v>
      </c>
      <c r="C567" s="365">
        <v>4410</v>
      </c>
      <c r="D567" s="432" t="s">
        <v>38</v>
      </c>
      <c r="E567" s="432" t="s">
        <v>3766</v>
      </c>
      <c r="F567" s="363"/>
      <c r="G567" s="363"/>
      <c r="H567" s="363"/>
      <c r="I567" s="363"/>
      <c r="J567" s="363"/>
      <c r="K567" s="363"/>
      <c r="L567" s="363"/>
      <c r="M567" s="363"/>
      <c r="N567" s="363"/>
      <c r="O567" s="363"/>
    </row>
    <row r="568" spans="1:15" ht="14.5">
      <c r="A568" s="363"/>
      <c r="B568" s="432" t="s">
        <v>3772</v>
      </c>
      <c r="C568" s="365">
        <v>5706</v>
      </c>
      <c r="D568" s="432" t="s">
        <v>38</v>
      </c>
      <c r="E568" s="432" t="s">
        <v>3974</v>
      </c>
      <c r="F568" s="363"/>
      <c r="G568" s="363"/>
      <c r="H568" s="363"/>
      <c r="I568" s="363"/>
      <c r="J568" s="363"/>
      <c r="K568" s="363"/>
      <c r="L568" s="363"/>
      <c r="M568" s="363"/>
      <c r="N568" s="363"/>
      <c r="O568" s="363"/>
    </row>
    <row r="569" spans="1:15" ht="14.5">
      <c r="A569" s="363"/>
      <c r="B569" s="432" t="s">
        <v>3773</v>
      </c>
      <c r="C569" s="365">
        <v>20700</v>
      </c>
      <c r="D569" s="432" t="s">
        <v>38</v>
      </c>
      <c r="E569" s="432" t="s">
        <v>3958</v>
      </c>
      <c r="F569" s="363"/>
      <c r="G569" s="363"/>
      <c r="H569" s="363"/>
      <c r="I569" s="363"/>
      <c r="J569" s="363"/>
      <c r="K569" s="363"/>
      <c r="L569" s="363"/>
      <c r="M569" s="363"/>
      <c r="N569" s="363"/>
      <c r="O569" s="363"/>
    </row>
    <row r="570" spans="1:15" ht="14.5">
      <c r="A570" s="363"/>
      <c r="B570" s="432" t="s">
        <v>3774</v>
      </c>
      <c r="C570" s="365">
        <v>14300</v>
      </c>
      <c r="D570" s="432" t="s">
        <v>38</v>
      </c>
      <c r="E570" s="432" t="s">
        <v>3959</v>
      </c>
      <c r="F570" s="363"/>
      <c r="G570" s="363"/>
      <c r="H570" s="363"/>
      <c r="I570" s="363"/>
      <c r="J570" s="363"/>
      <c r="K570" s="363"/>
      <c r="L570" s="363"/>
      <c r="M570" s="363"/>
      <c r="N570" s="363"/>
      <c r="O570" s="363"/>
    </row>
    <row r="571" spans="1:15" ht="14.5">
      <c r="A571" s="363"/>
      <c r="B571" s="432" t="s">
        <v>3775</v>
      </c>
      <c r="C571" s="365">
        <v>13700</v>
      </c>
      <c r="D571" s="432" t="s">
        <v>38</v>
      </c>
      <c r="E571" s="432" t="s">
        <v>3960</v>
      </c>
      <c r="F571" s="363"/>
      <c r="G571" s="363"/>
      <c r="H571" s="363"/>
      <c r="I571" s="363"/>
      <c r="J571" s="363"/>
      <c r="K571" s="363"/>
      <c r="L571" s="363"/>
      <c r="M571" s="363"/>
      <c r="N571" s="363"/>
      <c r="O571" s="363"/>
    </row>
    <row r="572" spans="1:15" ht="14.5">
      <c r="A572" s="363"/>
      <c r="B572" s="432" t="s">
        <v>3776</v>
      </c>
      <c r="C572" s="365">
        <v>6480</v>
      </c>
      <c r="D572" s="432" t="s">
        <v>38</v>
      </c>
      <c r="E572" s="432" t="s">
        <v>3961</v>
      </c>
      <c r="F572" s="363"/>
      <c r="G572" s="363"/>
      <c r="H572" s="363"/>
      <c r="I572" s="363"/>
      <c r="J572" s="363"/>
      <c r="K572" s="363"/>
      <c r="L572" s="363"/>
      <c r="M572" s="363"/>
      <c r="N572" s="363"/>
      <c r="O572" s="363"/>
    </row>
    <row r="573" spans="1:15" ht="14.5">
      <c r="A573" s="363"/>
      <c r="B573" s="432" t="s">
        <v>3777</v>
      </c>
      <c r="C573" s="365">
        <v>7460</v>
      </c>
      <c r="D573" s="432" t="s">
        <v>38</v>
      </c>
      <c r="E573" s="432" t="s">
        <v>3962</v>
      </c>
      <c r="F573" s="363"/>
      <c r="G573" s="363"/>
      <c r="H573" s="363"/>
      <c r="I573" s="363"/>
      <c r="J573" s="363"/>
      <c r="K573" s="363"/>
      <c r="L573" s="363"/>
      <c r="M573" s="363"/>
      <c r="N573" s="363"/>
      <c r="O573" s="363"/>
    </row>
    <row r="574" spans="1:15" ht="14.5">
      <c r="A574" s="363"/>
      <c r="B574" s="432" t="s">
        <v>3778</v>
      </c>
      <c r="C574" s="365">
        <v>9910</v>
      </c>
      <c r="D574" s="432" t="s">
        <v>38</v>
      </c>
      <c r="E574" s="432" t="s">
        <v>3963</v>
      </c>
      <c r="F574" s="363"/>
      <c r="G574" s="363"/>
      <c r="H574" s="363"/>
      <c r="I574" s="363"/>
      <c r="J574" s="363"/>
      <c r="K574" s="363"/>
      <c r="L574" s="363"/>
      <c r="M574" s="363"/>
      <c r="N574" s="363"/>
      <c r="O574" s="363"/>
    </row>
    <row r="575" spans="1:15" ht="14.5">
      <c r="A575" s="363"/>
      <c r="B575" s="432" t="s">
        <v>3779</v>
      </c>
      <c r="C575" s="365">
        <v>13021</v>
      </c>
      <c r="D575" s="432" t="s">
        <v>38</v>
      </c>
      <c r="E575" s="432" t="s">
        <v>3973</v>
      </c>
      <c r="F575" s="363"/>
      <c r="G575" s="363"/>
      <c r="H575" s="363"/>
      <c r="I575" s="363"/>
      <c r="J575" s="363"/>
      <c r="K575" s="363"/>
      <c r="L575" s="363"/>
      <c r="M575" s="363"/>
      <c r="N575" s="363"/>
      <c r="O575" s="363"/>
    </row>
    <row r="576" spans="1:15" ht="14.5">
      <c r="A576" s="363"/>
      <c r="B576" s="432" t="s">
        <v>3780</v>
      </c>
      <c r="C576" s="365">
        <v>42200</v>
      </c>
      <c r="D576" s="432" t="s">
        <v>38</v>
      </c>
      <c r="E576" s="432" t="s">
        <v>3964</v>
      </c>
      <c r="F576" s="363"/>
      <c r="G576" s="363"/>
      <c r="H576" s="363"/>
      <c r="I576" s="363"/>
      <c r="J576" s="363"/>
      <c r="K576" s="363"/>
      <c r="L576" s="363"/>
      <c r="M576" s="363"/>
      <c r="N576" s="363"/>
      <c r="O576" s="363"/>
    </row>
    <row r="577" spans="1:15" ht="14.5">
      <c r="A577" s="363"/>
      <c r="B577" s="432" t="s">
        <v>3781</v>
      </c>
      <c r="C577" s="365">
        <v>310000</v>
      </c>
      <c r="D577" s="432" t="s">
        <v>38</v>
      </c>
      <c r="E577" s="432" t="s">
        <v>3965</v>
      </c>
      <c r="F577" s="363"/>
      <c r="G577" s="363"/>
      <c r="H577" s="363"/>
      <c r="I577" s="363"/>
      <c r="J577" s="363"/>
      <c r="K577" s="363"/>
      <c r="L577" s="363"/>
      <c r="M577" s="363"/>
      <c r="N577" s="363"/>
      <c r="O577" s="363"/>
    </row>
    <row r="578" spans="1:15" ht="14.5">
      <c r="A578" s="363"/>
      <c r="B578" s="432" t="s">
        <v>3782</v>
      </c>
      <c r="C578" s="365">
        <v>19200</v>
      </c>
      <c r="D578" s="432" t="s">
        <v>38</v>
      </c>
      <c r="E578" s="432" t="s">
        <v>3966</v>
      </c>
      <c r="F578" s="363"/>
      <c r="G578" s="363"/>
      <c r="H578" s="363"/>
      <c r="I578" s="363"/>
      <c r="J578" s="363"/>
      <c r="K578" s="363"/>
      <c r="L578" s="363"/>
      <c r="M578" s="363"/>
      <c r="N578" s="363"/>
      <c r="O578" s="363"/>
    </row>
    <row r="579" spans="1:15" ht="14.5">
      <c r="A579" s="363"/>
      <c r="B579" s="432" t="s">
        <v>3783</v>
      </c>
      <c r="C579" s="365">
        <v>16000</v>
      </c>
      <c r="D579" s="432" t="s">
        <v>38</v>
      </c>
      <c r="E579" s="432" t="s">
        <v>3967</v>
      </c>
      <c r="F579" s="363"/>
      <c r="G579" s="363"/>
      <c r="H579" s="363"/>
      <c r="I579" s="363"/>
      <c r="J579" s="363"/>
      <c r="K579" s="363"/>
      <c r="L579" s="363"/>
      <c r="M579" s="363"/>
      <c r="N579" s="363"/>
      <c r="O579" s="363"/>
    </row>
    <row r="580" spans="1:15" ht="14.5">
      <c r="A580" s="363"/>
      <c r="B580" s="432" t="s">
        <v>3784</v>
      </c>
      <c r="C580" s="365">
        <v>12700</v>
      </c>
      <c r="D580" s="432" t="s">
        <v>38</v>
      </c>
      <c r="E580" s="432" t="s">
        <v>3968</v>
      </c>
      <c r="F580" s="363"/>
      <c r="G580" s="363"/>
      <c r="H580" s="363"/>
      <c r="I580" s="363"/>
      <c r="J580" s="363"/>
      <c r="K580" s="363"/>
      <c r="L580" s="363"/>
      <c r="M580" s="363"/>
      <c r="N580" s="363"/>
      <c r="O580" s="363"/>
    </row>
    <row r="581" spans="1:15" ht="14.5">
      <c r="A581" s="363"/>
      <c r="B581" s="432" t="s">
        <v>3785</v>
      </c>
      <c r="C581" s="365">
        <v>69800</v>
      </c>
      <c r="D581" s="432" t="s">
        <v>38</v>
      </c>
      <c r="E581" s="432" t="s">
        <v>3969</v>
      </c>
      <c r="F581" s="363"/>
      <c r="G581" s="363"/>
      <c r="H581" s="363"/>
      <c r="I581" s="363"/>
      <c r="J581" s="363"/>
      <c r="K581" s="363"/>
      <c r="L581" s="363"/>
      <c r="M581" s="363"/>
      <c r="N581" s="363"/>
      <c r="O581" s="363"/>
    </row>
    <row r="582" spans="1:15" ht="14.5">
      <c r="A582" s="363"/>
      <c r="B582" s="432" t="s">
        <v>3786</v>
      </c>
      <c r="C582" s="365">
        <v>16400</v>
      </c>
      <c r="D582" s="432" t="s">
        <v>38</v>
      </c>
      <c r="E582" s="432" t="s">
        <v>3970</v>
      </c>
      <c r="F582" s="363"/>
      <c r="G582" s="363"/>
      <c r="H582" s="363"/>
      <c r="I582" s="363"/>
      <c r="J582" s="363"/>
      <c r="K582" s="363"/>
      <c r="L582" s="363"/>
      <c r="M582" s="363"/>
      <c r="N582" s="363"/>
      <c r="O582" s="363"/>
    </row>
    <row r="583" spans="1:15" ht="14.5">
      <c r="A583" s="363"/>
      <c r="B583" s="432" t="s">
        <v>3787</v>
      </c>
      <c r="C583" s="365">
        <v>5230</v>
      </c>
      <c r="D583" s="432" t="s">
        <v>38</v>
      </c>
      <c r="E583" s="432" t="s">
        <v>3972</v>
      </c>
      <c r="F583" s="363"/>
      <c r="G583" s="363"/>
      <c r="H583" s="363"/>
      <c r="I583" s="363"/>
      <c r="J583" s="363"/>
      <c r="K583" s="363"/>
      <c r="L583" s="363"/>
      <c r="M583" s="363"/>
      <c r="N583" s="363"/>
      <c r="O583" s="363"/>
    </row>
    <row r="584" spans="1:15" ht="14.5">
      <c r="A584" s="363"/>
      <c r="B584" s="432" t="s">
        <v>3788</v>
      </c>
      <c r="C584" s="365">
        <v>20600</v>
      </c>
      <c r="D584" s="432" t="s">
        <v>38</v>
      </c>
      <c r="E584" s="432" t="s">
        <v>3789</v>
      </c>
      <c r="F584" s="363"/>
      <c r="G584" s="363"/>
      <c r="H584" s="363"/>
      <c r="I584" s="363"/>
      <c r="J584" s="363"/>
      <c r="K584" s="363"/>
      <c r="L584" s="363"/>
      <c r="M584" s="363"/>
      <c r="N584" s="363"/>
      <c r="O584" s="363"/>
    </row>
    <row r="585" spans="1:15" ht="14.5">
      <c r="A585" s="363"/>
      <c r="B585" s="432" t="s">
        <v>3790</v>
      </c>
      <c r="C585" s="365">
        <v>17400</v>
      </c>
      <c r="D585" s="432" t="s">
        <v>38</v>
      </c>
      <c r="E585" s="432" t="s">
        <v>3971</v>
      </c>
      <c r="F585" s="363"/>
      <c r="G585" s="363"/>
      <c r="H585" s="363"/>
      <c r="I585" s="363"/>
      <c r="J585" s="363"/>
      <c r="K585" s="363"/>
      <c r="L585" s="363"/>
      <c r="M585" s="363"/>
      <c r="N585" s="363"/>
      <c r="O585" s="363"/>
    </row>
    <row r="586" spans="1:15">
      <c r="A586" s="363"/>
      <c r="B586" s="347"/>
      <c r="C586" s="347"/>
      <c r="D586" s="347"/>
      <c r="E586" s="347"/>
      <c r="F586" s="363"/>
      <c r="G586" s="363"/>
      <c r="H586" s="363"/>
      <c r="I586" s="363"/>
      <c r="J586" s="363"/>
      <c r="K586" s="363"/>
      <c r="L586" s="363"/>
      <c r="M586" s="363"/>
      <c r="N586" s="363"/>
      <c r="O586" s="363"/>
    </row>
    <row r="587" spans="1:15" ht="14.5">
      <c r="A587" s="363"/>
      <c r="B587" s="432" t="s">
        <v>3768</v>
      </c>
      <c r="C587" s="365">
        <v>2730</v>
      </c>
      <c r="D587" s="432" t="s">
        <v>38</v>
      </c>
      <c r="E587" s="432" t="s">
        <v>3769</v>
      </c>
      <c r="F587" s="363"/>
      <c r="G587" s="363"/>
      <c r="H587" s="363"/>
      <c r="I587" s="363"/>
      <c r="J587" s="363"/>
      <c r="K587" s="363"/>
      <c r="L587" s="363"/>
      <c r="M587" s="363"/>
      <c r="N587" s="363"/>
      <c r="O587" s="363"/>
    </row>
    <row r="588" spans="1:15" ht="14.5">
      <c r="A588" s="363"/>
      <c r="B588" s="432" t="s">
        <v>3770</v>
      </c>
      <c r="C588" s="365">
        <v>7630</v>
      </c>
      <c r="D588" s="432" t="s">
        <v>38</v>
      </c>
      <c r="E588" s="432" t="s">
        <v>3766</v>
      </c>
      <c r="F588" s="363"/>
      <c r="G588" s="363"/>
      <c r="H588" s="363"/>
      <c r="I588" s="363"/>
      <c r="J588" s="363"/>
      <c r="K588" s="363"/>
      <c r="L588" s="363"/>
      <c r="M588" s="363"/>
      <c r="N588" s="363"/>
      <c r="O588" s="363"/>
    </row>
    <row r="589" spans="1:15" ht="14.5">
      <c r="A589" s="363"/>
      <c r="B589" s="432" t="s">
        <v>3771</v>
      </c>
      <c r="C589" s="365">
        <v>1920</v>
      </c>
      <c r="D589" s="432" t="s">
        <v>38</v>
      </c>
      <c r="E589" s="432" t="s">
        <v>3766</v>
      </c>
      <c r="F589" s="363"/>
      <c r="G589" s="363"/>
      <c r="H589" s="363"/>
      <c r="I589" s="363"/>
      <c r="J589" s="363"/>
      <c r="K589" s="363"/>
      <c r="L589" s="363"/>
      <c r="M589" s="363"/>
      <c r="N589" s="363"/>
      <c r="O589" s="363"/>
    </row>
    <row r="590" spans="1:15">
      <c r="A590" s="363"/>
      <c r="B590" s="347"/>
      <c r="C590" s="347"/>
      <c r="D590" s="347"/>
      <c r="E590" s="347"/>
      <c r="F590" s="363"/>
      <c r="G590" s="363"/>
      <c r="H590" s="363"/>
      <c r="I590" s="363"/>
      <c r="J590" s="363"/>
      <c r="K590" s="363"/>
      <c r="L590" s="363"/>
      <c r="M590" s="363"/>
      <c r="N590" s="363"/>
      <c r="O590" s="363"/>
    </row>
    <row r="591" spans="1:15">
      <c r="A591" s="363"/>
      <c r="B591" s="363"/>
      <c r="C591" s="363"/>
      <c r="D591" s="363"/>
      <c r="E591" s="363"/>
      <c r="F591" s="363"/>
      <c r="G591" s="363"/>
      <c r="H591" s="363"/>
      <c r="I591" s="363"/>
      <c r="J591" s="363"/>
      <c r="K591" s="363"/>
      <c r="L591" s="363"/>
      <c r="M591" s="363"/>
      <c r="N591" s="363"/>
      <c r="O591" s="363"/>
    </row>
    <row r="592" spans="1:15">
      <c r="A592" s="346" t="s">
        <v>3488</v>
      </c>
      <c r="B592" s="271" t="s">
        <v>3488</v>
      </c>
      <c r="C592" s="364"/>
      <c r="D592" s="363"/>
      <c r="E592" s="363"/>
      <c r="F592" s="363"/>
      <c r="G592" s="363"/>
      <c r="H592" s="363"/>
      <c r="I592" s="363"/>
      <c r="J592" s="363"/>
      <c r="K592" s="363"/>
      <c r="L592" s="363"/>
      <c r="M592" s="363"/>
      <c r="N592" s="363"/>
      <c r="O592" s="363"/>
    </row>
    <row r="593" spans="1:15">
      <c r="A593" s="363"/>
      <c r="B593" s="296" t="s">
        <v>3489</v>
      </c>
      <c r="C593" s="296">
        <v>120</v>
      </c>
      <c r="D593" s="296" t="s">
        <v>274</v>
      </c>
      <c r="E593" s="296" t="s">
        <v>3569</v>
      </c>
      <c r="F593" s="296" t="s">
        <v>3567</v>
      </c>
      <c r="G593" s="363"/>
      <c r="H593" s="363"/>
      <c r="I593" s="363"/>
      <c r="J593" s="363"/>
      <c r="K593" s="363"/>
      <c r="L593" s="363"/>
      <c r="M593" s="363"/>
      <c r="N593" s="363"/>
      <c r="O593" s="363"/>
    </row>
    <row r="594" spans="1:15">
      <c r="A594" s="363"/>
      <c r="B594" s="296" t="s">
        <v>3490</v>
      </c>
      <c r="C594" s="296">
        <v>190</v>
      </c>
      <c r="D594" s="296" t="s">
        <v>274</v>
      </c>
      <c r="E594" s="296" t="s">
        <v>3570</v>
      </c>
      <c r="F594" s="296" t="s">
        <v>3567</v>
      </c>
      <c r="G594" s="363"/>
      <c r="H594" s="363"/>
      <c r="I594" s="363"/>
      <c r="J594" s="363"/>
      <c r="K594" s="363"/>
      <c r="L594" s="363"/>
      <c r="M594" s="363"/>
      <c r="N594" s="363"/>
      <c r="O594" s="363"/>
    </row>
    <row r="595" spans="1:15">
      <c r="A595" s="363"/>
      <c r="B595" s="296" t="s">
        <v>3849</v>
      </c>
      <c r="C595" s="296">
        <v>160</v>
      </c>
      <c r="D595" s="296" t="s">
        <v>274</v>
      </c>
      <c r="E595" s="296" t="s">
        <v>3850</v>
      </c>
      <c r="F595" s="296" t="s">
        <v>3567</v>
      </c>
      <c r="G595" s="363"/>
      <c r="H595" s="363"/>
      <c r="I595" s="363"/>
      <c r="J595" s="363"/>
      <c r="K595" s="363"/>
      <c r="L595" s="363"/>
      <c r="M595" s="363"/>
      <c r="N595" s="363"/>
      <c r="O595" s="363"/>
    </row>
    <row r="596" spans="1:15">
      <c r="A596" s="363"/>
      <c r="B596" s="296" t="s">
        <v>3491</v>
      </c>
      <c r="C596" s="296">
        <v>70</v>
      </c>
      <c r="D596" s="296" t="s">
        <v>274</v>
      </c>
      <c r="E596" s="296" t="s">
        <v>3571</v>
      </c>
      <c r="F596" s="296" t="s">
        <v>3567</v>
      </c>
      <c r="G596" s="363"/>
      <c r="H596" s="363"/>
      <c r="I596" s="363"/>
      <c r="J596" s="363"/>
      <c r="K596" s="363"/>
      <c r="L596" s="363"/>
      <c r="M596" s="363"/>
      <c r="N596" s="363"/>
      <c r="O596" s="363"/>
    </row>
    <row r="597" spans="1:15">
      <c r="A597" s="363"/>
      <c r="B597" s="296" t="s">
        <v>3619</v>
      </c>
      <c r="C597" s="296">
        <v>170</v>
      </c>
      <c r="D597" s="296" t="s">
        <v>274</v>
      </c>
      <c r="E597" s="371"/>
      <c r="F597" s="296" t="s">
        <v>229</v>
      </c>
      <c r="G597" s="363"/>
      <c r="H597" s="363"/>
      <c r="I597" s="363"/>
      <c r="J597" s="363"/>
      <c r="K597" s="363"/>
      <c r="L597" s="363"/>
      <c r="M597" s="363"/>
      <c r="N597" s="363"/>
      <c r="O597" s="363"/>
    </row>
    <row r="598" spans="1:15">
      <c r="A598" s="363"/>
      <c r="B598" s="296" t="s">
        <v>3608</v>
      </c>
      <c r="C598" s="296">
        <v>80</v>
      </c>
      <c r="D598" s="296" t="s">
        <v>274</v>
      </c>
      <c r="E598" s="296" t="s">
        <v>3572</v>
      </c>
      <c r="F598" s="296" t="s">
        <v>3567</v>
      </c>
      <c r="G598" s="363"/>
      <c r="H598" s="363"/>
      <c r="I598" s="363"/>
      <c r="J598" s="363"/>
      <c r="K598" s="363"/>
      <c r="L598" s="363"/>
      <c r="M598" s="363"/>
      <c r="N598" s="363"/>
      <c r="O598" s="363"/>
    </row>
    <row r="599" spans="1:15">
      <c r="A599" s="363"/>
      <c r="B599" s="296" t="s">
        <v>3492</v>
      </c>
      <c r="C599" s="296">
        <v>140</v>
      </c>
      <c r="D599" s="296" t="s">
        <v>274</v>
      </c>
      <c r="E599" s="296" t="s">
        <v>3573</v>
      </c>
      <c r="F599" s="296" t="s">
        <v>3567</v>
      </c>
      <c r="G599" s="363"/>
      <c r="H599" s="363"/>
      <c r="I599" s="363"/>
      <c r="J599" s="363"/>
      <c r="K599" s="363"/>
      <c r="L599" s="363"/>
      <c r="M599" s="363"/>
      <c r="N599" s="363"/>
      <c r="O599" s="363"/>
    </row>
    <row r="600" spans="1:15">
      <c r="A600" s="363"/>
      <c r="B600" s="296" t="s">
        <v>3493</v>
      </c>
      <c r="C600" s="296">
        <v>270</v>
      </c>
      <c r="D600" s="296" t="s">
        <v>274</v>
      </c>
      <c r="E600" s="296" t="s">
        <v>3574</v>
      </c>
      <c r="F600" s="296" t="s">
        <v>3567</v>
      </c>
      <c r="G600" s="363"/>
      <c r="H600" s="363"/>
      <c r="I600" s="363"/>
      <c r="J600" s="363"/>
      <c r="K600" s="363"/>
      <c r="L600" s="363"/>
      <c r="M600" s="363"/>
      <c r="N600" s="363"/>
      <c r="O600" s="363"/>
    </row>
    <row r="601" spans="1:15">
      <c r="A601" s="363"/>
      <c r="B601" s="296" t="s">
        <v>3620</v>
      </c>
      <c r="C601" s="296">
        <v>180</v>
      </c>
      <c r="D601" s="296" t="s">
        <v>274</v>
      </c>
      <c r="E601" s="296" t="s">
        <v>3621</v>
      </c>
      <c r="F601" s="296" t="s">
        <v>3567</v>
      </c>
      <c r="G601" s="363"/>
      <c r="H601" s="363"/>
      <c r="I601" s="363"/>
      <c r="J601" s="363"/>
      <c r="K601" s="363"/>
      <c r="L601" s="363"/>
      <c r="M601" s="363"/>
      <c r="N601" s="363"/>
      <c r="O601" s="363"/>
    </row>
    <row r="602" spans="1:15">
      <c r="A602" s="363"/>
      <c r="B602" s="296" t="s">
        <v>3607</v>
      </c>
      <c r="C602" s="296">
        <v>160</v>
      </c>
      <c r="D602" s="296" t="s">
        <v>274</v>
      </c>
      <c r="E602" s="296" t="s">
        <v>3575</v>
      </c>
      <c r="F602" s="296" t="s">
        <v>3567</v>
      </c>
      <c r="G602" s="363"/>
      <c r="H602" s="363"/>
      <c r="I602" s="363"/>
      <c r="J602" s="363"/>
      <c r="K602" s="363"/>
      <c r="L602" s="363"/>
      <c r="M602" s="363"/>
      <c r="N602" s="363"/>
      <c r="O602" s="363"/>
    </row>
    <row r="603" spans="1:15">
      <c r="A603" s="363"/>
      <c r="B603" s="296" t="s">
        <v>3847</v>
      </c>
      <c r="C603" s="296">
        <v>290</v>
      </c>
      <c r="D603" s="296" t="s">
        <v>274</v>
      </c>
      <c r="E603" s="296" t="s">
        <v>3848</v>
      </c>
      <c r="F603" s="296" t="s">
        <v>3567</v>
      </c>
      <c r="G603" s="363"/>
      <c r="H603" s="363"/>
      <c r="I603" s="363"/>
      <c r="J603" s="363"/>
      <c r="K603" s="363"/>
      <c r="L603" s="363"/>
      <c r="M603" s="363"/>
      <c r="N603" s="363"/>
      <c r="O603" s="363"/>
    </row>
    <row r="604" spans="1:15">
      <c r="A604" s="363"/>
      <c r="B604" s="296" t="s">
        <v>3494</v>
      </c>
      <c r="C604" s="296">
        <v>290</v>
      </c>
      <c r="D604" s="296" t="s">
        <v>274</v>
      </c>
      <c r="E604" s="296" t="s">
        <v>3630</v>
      </c>
      <c r="F604" s="296" t="s">
        <v>3567</v>
      </c>
      <c r="G604" s="363"/>
      <c r="H604" s="363"/>
      <c r="I604" s="363"/>
      <c r="J604" s="363"/>
      <c r="K604" s="363"/>
      <c r="L604" s="363"/>
      <c r="M604" s="363"/>
      <c r="N604" s="363"/>
      <c r="O604" s="363"/>
    </row>
    <row r="605" spans="1:15">
      <c r="A605" s="363"/>
      <c r="B605" s="296" t="s">
        <v>3495</v>
      </c>
      <c r="C605" s="296">
        <v>140</v>
      </c>
      <c r="D605" s="296" t="s">
        <v>274</v>
      </c>
      <c r="E605" s="296" t="s">
        <v>3576</v>
      </c>
      <c r="F605" s="296" t="s">
        <v>3567</v>
      </c>
      <c r="G605" s="363"/>
      <c r="H605" s="363"/>
      <c r="I605" s="363"/>
      <c r="J605" s="363"/>
      <c r="K605" s="363"/>
      <c r="L605" s="363"/>
      <c r="M605" s="363"/>
      <c r="N605" s="363"/>
      <c r="O605" s="363"/>
    </row>
    <row r="606" spans="1:15">
      <c r="A606" s="363"/>
      <c r="B606" s="296" t="s">
        <v>3496</v>
      </c>
      <c r="C606" s="296">
        <v>500</v>
      </c>
      <c r="D606" s="296" t="s">
        <v>274</v>
      </c>
      <c r="E606" s="296" t="s">
        <v>3577</v>
      </c>
      <c r="F606" s="296" t="s">
        <v>3567</v>
      </c>
      <c r="G606" s="363"/>
      <c r="H606" s="363"/>
      <c r="I606" s="363"/>
      <c r="J606" s="363"/>
      <c r="K606" s="363"/>
      <c r="L606" s="363"/>
      <c r="M606" s="363"/>
      <c r="N606" s="363"/>
      <c r="O606" s="363"/>
    </row>
    <row r="607" spans="1:15" ht="14.5">
      <c r="A607" s="363"/>
      <c r="B607" s="296" t="s">
        <v>3497</v>
      </c>
      <c r="C607" s="296">
        <v>700</v>
      </c>
      <c r="D607" s="296" t="s">
        <v>274</v>
      </c>
      <c r="E607" s="64" t="s">
        <v>3609</v>
      </c>
      <c r="F607" s="296" t="s">
        <v>229</v>
      </c>
      <c r="G607" s="363"/>
      <c r="H607" s="363"/>
      <c r="I607" s="363"/>
      <c r="J607" s="363"/>
      <c r="K607" s="363"/>
      <c r="L607" s="363"/>
      <c r="M607" s="363"/>
      <c r="N607" s="363"/>
      <c r="O607" s="363"/>
    </row>
    <row r="608" spans="1:15">
      <c r="A608" s="363"/>
      <c r="B608" s="296" t="s">
        <v>3498</v>
      </c>
      <c r="C608" s="296">
        <v>120</v>
      </c>
      <c r="D608" s="296" t="s">
        <v>274</v>
      </c>
      <c r="E608" s="296" t="s">
        <v>3578</v>
      </c>
      <c r="F608" s="296" t="s">
        <v>3567</v>
      </c>
      <c r="G608" s="363"/>
      <c r="H608" s="363"/>
      <c r="I608" s="363"/>
      <c r="J608" s="363"/>
      <c r="K608" s="363"/>
      <c r="L608" s="363"/>
      <c r="M608" s="363"/>
      <c r="N608" s="363"/>
      <c r="O608" s="363"/>
    </row>
    <row r="609" spans="1:15">
      <c r="A609" s="363"/>
      <c r="B609" s="296" t="s">
        <v>3499</v>
      </c>
      <c r="C609" s="296">
        <v>215</v>
      </c>
      <c r="D609" s="296" t="s">
        <v>274</v>
      </c>
      <c r="E609" s="296" t="s">
        <v>3506</v>
      </c>
      <c r="F609" s="296" t="s">
        <v>229</v>
      </c>
      <c r="G609" s="363"/>
      <c r="H609" s="363"/>
      <c r="I609" s="363"/>
      <c r="J609" s="363"/>
      <c r="K609" s="363"/>
      <c r="L609" s="363"/>
      <c r="M609" s="363"/>
      <c r="N609" s="363"/>
      <c r="O609" s="363"/>
    </row>
    <row r="610" spans="1:15">
      <c r="A610" s="363"/>
      <c r="B610" s="296" t="s">
        <v>3623</v>
      </c>
      <c r="C610" s="296">
        <v>240</v>
      </c>
      <c r="D610" s="296" t="s">
        <v>274</v>
      </c>
      <c r="E610" s="296" t="s">
        <v>3624</v>
      </c>
      <c r="F610" s="296" t="s">
        <v>3567</v>
      </c>
      <c r="G610" s="363"/>
      <c r="H610" s="363"/>
      <c r="I610" s="363"/>
      <c r="J610" s="363"/>
      <c r="K610" s="363"/>
      <c r="L610" s="363"/>
      <c r="M610" s="363"/>
      <c r="N610" s="363"/>
      <c r="O610" s="363"/>
    </row>
    <row r="611" spans="1:15">
      <c r="A611" s="363"/>
      <c r="B611" s="296" t="s">
        <v>3500</v>
      </c>
      <c r="C611" s="296">
        <v>170</v>
      </c>
      <c r="D611" s="296" t="s">
        <v>274</v>
      </c>
      <c r="E611" s="296"/>
      <c r="F611" s="296" t="s">
        <v>229</v>
      </c>
      <c r="G611" s="363"/>
      <c r="H611" s="363"/>
      <c r="I611" s="363"/>
      <c r="J611" s="363"/>
      <c r="K611" s="363"/>
      <c r="L611" s="363"/>
      <c r="M611" s="363"/>
      <c r="N611" s="363"/>
      <c r="O611" s="363"/>
    </row>
    <row r="612" spans="1:15">
      <c r="A612" s="363"/>
      <c r="B612" s="296" t="s">
        <v>3501</v>
      </c>
      <c r="C612" s="296">
        <v>170</v>
      </c>
      <c r="D612" s="296" t="s">
        <v>274</v>
      </c>
      <c r="E612" s="296"/>
      <c r="F612" s="296" t="s">
        <v>229</v>
      </c>
      <c r="G612" s="363"/>
      <c r="H612" s="363"/>
      <c r="I612" s="363"/>
      <c r="J612" s="363"/>
      <c r="K612" s="363"/>
      <c r="L612" s="363"/>
      <c r="M612" s="363"/>
      <c r="N612" s="363"/>
      <c r="O612" s="363"/>
    </row>
    <row r="613" spans="1:15">
      <c r="A613" s="363"/>
      <c r="B613" s="296" t="s">
        <v>3502</v>
      </c>
      <c r="C613" s="296">
        <v>360</v>
      </c>
      <c r="D613" s="296" t="s">
        <v>274</v>
      </c>
      <c r="E613" s="296" t="s">
        <v>3579</v>
      </c>
      <c r="F613" s="296" t="s">
        <v>3567</v>
      </c>
      <c r="G613" s="363"/>
      <c r="H613" s="363"/>
      <c r="I613" s="363"/>
      <c r="J613" s="363"/>
      <c r="K613" s="363"/>
      <c r="L613" s="363"/>
      <c r="M613" s="363"/>
      <c r="N613" s="363"/>
      <c r="O613" s="363"/>
    </row>
    <row r="614" spans="1:15">
      <c r="A614" s="363"/>
      <c r="B614" s="296" t="s">
        <v>3851</v>
      </c>
      <c r="C614" s="296">
        <v>90</v>
      </c>
      <c r="D614" s="296" t="s">
        <v>274</v>
      </c>
      <c r="E614" s="296" t="s">
        <v>3852</v>
      </c>
      <c r="F614" s="296" t="s">
        <v>3567</v>
      </c>
      <c r="G614" s="363"/>
      <c r="H614" s="363"/>
      <c r="I614" s="363"/>
      <c r="J614" s="363"/>
      <c r="K614" s="363"/>
      <c r="L614" s="363"/>
      <c r="M614" s="363"/>
      <c r="N614" s="363"/>
      <c r="O614" s="363"/>
    </row>
    <row r="615" spans="1:15">
      <c r="A615" s="363"/>
      <c r="B615" s="296" t="s">
        <v>3503</v>
      </c>
      <c r="C615" s="296">
        <v>180</v>
      </c>
      <c r="D615" s="296" t="s">
        <v>274</v>
      </c>
      <c r="E615" s="296" t="s">
        <v>3580</v>
      </c>
      <c r="F615" s="296" t="s">
        <v>3567</v>
      </c>
      <c r="G615" s="363"/>
      <c r="H615" s="363"/>
      <c r="I615" s="363"/>
      <c r="J615" s="363"/>
      <c r="K615" s="363"/>
      <c r="L615" s="363"/>
      <c r="M615" s="363"/>
      <c r="N615" s="363"/>
      <c r="O615" s="363"/>
    </row>
    <row r="616" spans="1:15">
      <c r="A616" s="363"/>
      <c r="B616" s="296" t="s">
        <v>3853</v>
      </c>
      <c r="C616" s="296">
        <v>120</v>
      </c>
      <c r="D616" s="296" t="s">
        <v>274</v>
      </c>
      <c r="E616" s="296" t="s">
        <v>3854</v>
      </c>
      <c r="F616" s="296" t="s">
        <v>3567</v>
      </c>
      <c r="G616" s="363"/>
      <c r="H616" s="363"/>
      <c r="I616" s="363"/>
      <c r="J616" s="363"/>
      <c r="K616" s="363"/>
      <c r="L616" s="363"/>
      <c r="M616" s="363"/>
      <c r="N616" s="363"/>
      <c r="O616" s="363"/>
    </row>
    <row r="617" spans="1:15" ht="14.5">
      <c r="A617" s="363"/>
      <c r="B617" s="64" t="s">
        <v>3507</v>
      </c>
      <c r="C617" s="37">
        <v>100</v>
      </c>
      <c r="D617" s="296" t="s">
        <v>274</v>
      </c>
      <c r="E617" s="371"/>
      <c r="F617" s="296" t="s">
        <v>229</v>
      </c>
      <c r="G617" s="363"/>
      <c r="H617" s="363"/>
      <c r="I617" s="363"/>
      <c r="J617" s="363"/>
      <c r="K617" s="363"/>
      <c r="L617" s="363"/>
      <c r="M617" s="363"/>
      <c r="N617" s="363"/>
      <c r="O617" s="363"/>
    </row>
    <row r="618" spans="1:15" ht="14.5">
      <c r="A618" s="363"/>
      <c r="B618" s="64" t="s">
        <v>3529</v>
      </c>
      <c r="C618" s="37">
        <v>210</v>
      </c>
      <c r="D618" s="296" t="s">
        <v>274</v>
      </c>
      <c r="E618" s="371"/>
      <c r="F618" s="296" t="s">
        <v>229</v>
      </c>
      <c r="G618" s="363"/>
      <c r="H618" s="363"/>
      <c r="I618" s="363"/>
      <c r="J618" s="363"/>
      <c r="K618" s="363"/>
      <c r="L618" s="363"/>
      <c r="M618" s="363"/>
      <c r="N618" s="363"/>
      <c r="O618" s="363"/>
    </row>
    <row r="619" spans="1:15" ht="14.5">
      <c r="A619" s="363"/>
      <c r="B619" s="64" t="s">
        <v>3509</v>
      </c>
      <c r="C619" s="37">
        <v>220</v>
      </c>
      <c r="D619" s="296" t="s">
        <v>274</v>
      </c>
      <c r="E619" s="371"/>
      <c r="F619" s="296" t="s">
        <v>229</v>
      </c>
      <c r="G619" s="363"/>
      <c r="H619" s="363"/>
      <c r="I619" s="363"/>
      <c r="J619" s="363"/>
      <c r="K619" s="363"/>
      <c r="L619" s="363"/>
      <c r="M619" s="363"/>
      <c r="N619" s="363"/>
      <c r="O619" s="363"/>
    </row>
    <row r="620" spans="1:15" ht="14.5">
      <c r="A620" s="363"/>
      <c r="B620" s="64" t="s">
        <v>3510</v>
      </c>
      <c r="C620" s="37">
        <v>120</v>
      </c>
      <c r="D620" s="296" t="s">
        <v>274</v>
      </c>
      <c r="E620" s="371"/>
      <c r="F620" s="296" t="s">
        <v>229</v>
      </c>
      <c r="G620" s="363"/>
      <c r="H620" s="363"/>
      <c r="I620" s="363"/>
      <c r="J620" s="363"/>
      <c r="K620" s="363"/>
      <c r="L620" s="363"/>
      <c r="M620" s="363"/>
      <c r="N620" s="363"/>
      <c r="O620" s="363"/>
    </row>
    <row r="621" spans="1:15" ht="14.5">
      <c r="A621" s="363"/>
      <c r="B621" s="64" t="s">
        <v>3511</v>
      </c>
      <c r="C621" s="37">
        <v>270</v>
      </c>
      <c r="D621" s="296" t="s">
        <v>274</v>
      </c>
      <c r="E621" s="371"/>
      <c r="F621" s="296" t="s">
        <v>229</v>
      </c>
      <c r="G621" s="363"/>
      <c r="H621" s="363"/>
      <c r="I621" s="363"/>
      <c r="J621" s="363"/>
      <c r="K621" s="363"/>
      <c r="L621" s="363"/>
      <c r="M621" s="363"/>
      <c r="N621" s="363"/>
      <c r="O621" s="363"/>
    </row>
    <row r="622" spans="1:15" ht="14.5">
      <c r="A622" s="363"/>
      <c r="B622" s="64" t="s">
        <v>3530</v>
      </c>
      <c r="C622" s="37">
        <v>160</v>
      </c>
      <c r="D622" s="296" t="s">
        <v>274</v>
      </c>
      <c r="E622" s="371"/>
      <c r="F622" s="296" t="s">
        <v>229</v>
      </c>
      <c r="G622" s="363"/>
      <c r="H622" s="363"/>
      <c r="I622" s="363"/>
      <c r="J622" s="363"/>
      <c r="K622" s="363"/>
      <c r="L622" s="363"/>
      <c r="M622" s="363"/>
      <c r="N622" s="363"/>
      <c r="O622" s="363"/>
    </row>
    <row r="623" spans="1:15" ht="14.5">
      <c r="A623" s="363"/>
      <c r="B623" s="64" t="s">
        <v>3504</v>
      </c>
      <c r="C623" s="37">
        <v>110</v>
      </c>
      <c r="D623" s="296" t="s">
        <v>274</v>
      </c>
      <c r="E623" s="371"/>
      <c r="F623" s="296" t="s">
        <v>229</v>
      </c>
      <c r="G623" s="363"/>
      <c r="H623" s="363"/>
      <c r="I623" s="363"/>
      <c r="J623" s="363"/>
      <c r="K623" s="363"/>
      <c r="L623" s="363"/>
      <c r="M623" s="363"/>
      <c r="N623" s="363"/>
      <c r="O623" s="363"/>
    </row>
    <row r="624" spans="1:15" ht="14.5">
      <c r="A624" s="363"/>
      <c r="B624" s="64" t="s">
        <v>3512</v>
      </c>
      <c r="C624" s="37">
        <v>500</v>
      </c>
      <c r="D624" s="296" t="s">
        <v>274</v>
      </c>
      <c r="E624" s="371"/>
      <c r="F624" s="296" t="s">
        <v>229</v>
      </c>
      <c r="G624" s="363"/>
      <c r="H624" s="363"/>
      <c r="I624" s="363"/>
      <c r="J624" s="363"/>
      <c r="K624" s="363"/>
      <c r="L624" s="363"/>
      <c r="M624" s="363"/>
      <c r="N624" s="363"/>
      <c r="O624" s="363"/>
    </row>
    <row r="625" spans="1:15" ht="14.5">
      <c r="A625" s="363"/>
      <c r="B625" s="64" t="s">
        <v>3618</v>
      </c>
      <c r="C625" s="37">
        <v>917</v>
      </c>
      <c r="D625" s="296" t="s">
        <v>274</v>
      </c>
      <c r="E625" s="371"/>
      <c r="F625" s="296" t="s">
        <v>229</v>
      </c>
      <c r="G625" s="363"/>
      <c r="H625" s="363"/>
      <c r="I625" s="363"/>
      <c r="J625" s="363"/>
      <c r="K625" s="363"/>
      <c r="L625" s="363"/>
      <c r="M625" s="363"/>
      <c r="N625" s="363"/>
      <c r="O625" s="363"/>
    </row>
    <row r="626" spans="1:15" ht="14.5">
      <c r="A626" s="363"/>
      <c r="B626" s="64" t="s">
        <v>3483</v>
      </c>
      <c r="C626" s="37">
        <v>360</v>
      </c>
      <c r="D626" s="296" t="s">
        <v>274</v>
      </c>
      <c r="E626" s="371"/>
      <c r="F626" s="296" t="s">
        <v>229</v>
      </c>
      <c r="G626" s="363"/>
      <c r="H626" s="363"/>
      <c r="I626" s="363"/>
      <c r="J626" s="363"/>
      <c r="K626" s="363"/>
      <c r="L626" s="363"/>
      <c r="M626" s="363"/>
      <c r="N626" s="363"/>
      <c r="O626" s="363"/>
    </row>
    <row r="627" spans="1:15" ht="14.5">
      <c r="A627" s="363"/>
      <c r="B627" s="64" t="s">
        <v>3508</v>
      </c>
      <c r="C627" s="37">
        <v>130</v>
      </c>
      <c r="D627" s="296" t="s">
        <v>274</v>
      </c>
      <c r="E627" s="371"/>
      <c r="F627" s="296" t="s">
        <v>229</v>
      </c>
      <c r="G627" s="363"/>
      <c r="H627" s="363"/>
      <c r="I627" s="363"/>
      <c r="J627" s="363"/>
      <c r="K627" s="363"/>
      <c r="L627" s="363"/>
      <c r="M627" s="363"/>
      <c r="N627" s="363"/>
      <c r="O627" s="363"/>
    </row>
    <row r="628" spans="1:15" ht="14.5">
      <c r="A628" s="363"/>
      <c r="B628" s="64" t="s">
        <v>3481</v>
      </c>
      <c r="C628" s="37">
        <v>280</v>
      </c>
      <c r="D628" s="296" t="s">
        <v>274</v>
      </c>
      <c r="E628" s="371"/>
      <c r="F628" s="296" t="s">
        <v>229</v>
      </c>
      <c r="G628" s="363"/>
      <c r="H628" s="363"/>
      <c r="I628" s="363"/>
      <c r="J628" s="363"/>
      <c r="K628" s="363"/>
      <c r="L628" s="363"/>
      <c r="M628" s="363"/>
      <c r="N628" s="363"/>
      <c r="O628" s="363"/>
    </row>
    <row r="629" spans="1:15" ht="14.5">
      <c r="A629" s="363"/>
      <c r="B629" s="64" t="s">
        <v>3513</v>
      </c>
      <c r="C629" s="37">
        <v>170</v>
      </c>
      <c r="D629" s="296" t="s">
        <v>274</v>
      </c>
      <c r="E629" s="371"/>
      <c r="F629" s="296" t="s">
        <v>229</v>
      </c>
      <c r="G629" s="363"/>
      <c r="H629" s="363"/>
      <c r="I629" s="363"/>
      <c r="J629" s="363"/>
      <c r="K629" s="363"/>
      <c r="L629" s="363"/>
      <c r="M629" s="363"/>
      <c r="N629" s="363"/>
      <c r="O629" s="363"/>
    </row>
    <row r="630" spans="1:15" ht="14.5">
      <c r="A630" s="363"/>
      <c r="B630" s="64" t="s">
        <v>3514</v>
      </c>
      <c r="C630" s="37">
        <v>310</v>
      </c>
      <c r="D630" s="296" t="s">
        <v>274</v>
      </c>
      <c r="E630" s="371"/>
      <c r="F630" s="296" t="s">
        <v>229</v>
      </c>
      <c r="G630" s="363"/>
      <c r="H630" s="363"/>
      <c r="I630" s="363"/>
      <c r="J630" s="363"/>
      <c r="K630" s="363"/>
      <c r="L630" s="363"/>
      <c r="M630" s="363"/>
      <c r="N630" s="363"/>
      <c r="O630" s="363"/>
    </row>
    <row r="631" spans="1:15" ht="14.5">
      <c r="A631" s="363"/>
      <c r="B631" s="64" t="s">
        <v>3515</v>
      </c>
      <c r="C631" s="37">
        <v>320</v>
      </c>
      <c r="D631" s="296" t="s">
        <v>274</v>
      </c>
      <c r="E631" s="371"/>
      <c r="F631" s="296" t="s">
        <v>229</v>
      </c>
      <c r="G631" s="363"/>
      <c r="H631" s="363"/>
      <c r="I631" s="363"/>
      <c r="J631" s="363"/>
      <c r="K631" s="363"/>
      <c r="L631" s="363"/>
      <c r="M631" s="363"/>
      <c r="N631" s="363"/>
      <c r="O631" s="363"/>
    </row>
    <row r="632" spans="1:15" ht="14.5">
      <c r="A632" s="363"/>
      <c r="B632" s="64" t="s">
        <v>3609</v>
      </c>
      <c r="C632" s="37">
        <v>700</v>
      </c>
      <c r="D632" s="296" t="s">
        <v>274</v>
      </c>
      <c r="E632" s="371"/>
      <c r="F632" s="296" t="s">
        <v>229</v>
      </c>
      <c r="G632" s="363"/>
      <c r="H632" s="363"/>
      <c r="I632" s="363"/>
      <c r="J632" s="363"/>
      <c r="K632" s="363"/>
      <c r="L632" s="363"/>
      <c r="M632" s="363"/>
      <c r="N632" s="363"/>
      <c r="O632" s="363"/>
    </row>
    <row r="633" spans="1:15" ht="14.5">
      <c r="A633" s="363"/>
      <c r="B633" s="64" t="s">
        <v>3610</v>
      </c>
      <c r="C633" s="37">
        <v>700</v>
      </c>
      <c r="D633" s="296" t="s">
        <v>274</v>
      </c>
      <c r="E633" s="371"/>
      <c r="F633" s="296" t="s">
        <v>229</v>
      </c>
      <c r="G633" s="363"/>
      <c r="H633" s="363"/>
      <c r="I633" s="363"/>
      <c r="J633" s="363"/>
      <c r="K633" s="363"/>
      <c r="L633" s="363"/>
      <c r="M633" s="363"/>
      <c r="N633" s="363"/>
      <c r="O633" s="363"/>
    </row>
    <row r="634" spans="1:15" ht="14.5">
      <c r="A634" s="363"/>
      <c r="B634" s="64" t="s">
        <v>3516</v>
      </c>
      <c r="C634" s="37">
        <v>1700</v>
      </c>
      <c r="D634" s="296" t="s">
        <v>274</v>
      </c>
      <c r="E634" s="371"/>
      <c r="F634" s="296" t="s">
        <v>229</v>
      </c>
      <c r="G634" s="363"/>
      <c r="H634" s="363"/>
      <c r="I634" s="363"/>
      <c r="J634" s="363"/>
      <c r="K634" s="363"/>
      <c r="L634" s="363"/>
      <c r="M634" s="363"/>
      <c r="N634" s="363"/>
      <c r="O634" s="363"/>
    </row>
    <row r="635" spans="1:15" ht="14.5">
      <c r="A635" s="363"/>
      <c r="B635" s="64" t="s">
        <v>3505</v>
      </c>
      <c r="C635" s="37">
        <v>600</v>
      </c>
      <c r="D635" s="296" t="s">
        <v>274</v>
      </c>
      <c r="E635" s="371"/>
      <c r="F635" s="296" t="s">
        <v>229</v>
      </c>
      <c r="G635" s="363"/>
      <c r="H635" s="363"/>
      <c r="I635" s="363"/>
      <c r="J635" s="363"/>
      <c r="K635" s="363"/>
      <c r="L635" s="363"/>
      <c r="M635" s="363"/>
      <c r="N635" s="363"/>
      <c r="O635" s="363"/>
    </row>
    <row r="636" spans="1:15" ht="14.5">
      <c r="A636" s="363"/>
      <c r="B636" s="64" t="s">
        <v>3517</v>
      </c>
      <c r="C636" s="37">
        <v>900</v>
      </c>
      <c r="D636" s="296" t="s">
        <v>274</v>
      </c>
      <c r="E636" s="371"/>
      <c r="F636" s="296" t="s">
        <v>229</v>
      </c>
      <c r="G636" s="363"/>
      <c r="H636" s="363"/>
      <c r="I636" s="363"/>
      <c r="J636" s="363"/>
      <c r="K636" s="363"/>
      <c r="L636" s="363"/>
      <c r="M636" s="363"/>
      <c r="N636" s="363"/>
      <c r="O636" s="363"/>
    </row>
    <row r="637" spans="1:15" ht="14.5">
      <c r="A637" s="363"/>
      <c r="B637" s="64" t="s">
        <v>3518</v>
      </c>
      <c r="C637" s="37">
        <v>800</v>
      </c>
      <c r="D637" s="296" t="s">
        <v>274</v>
      </c>
      <c r="E637" s="371"/>
      <c r="F637" s="296" t="s">
        <v>229</v>
      </c>
      <c r="G637" s="363"/>
      <c r="H637" s="363"/>
      <c r="I637" s="363"/>
      <c r="J637" s="363"/>
      <c r="K637" s="363"/>
      <c r="L637" s="363"/>
      <c r="M637" s="363"/>
      <c r="N637" s="363"/>
      <c r="O637" s="363"/>
    </row>
    <row r="638" spans="1:15" ht="14.5">
      <c r="A638" s="363"/>
      <c r="B638" s="64" t="s">
        <v>3611</v>
      </c>
      <c r="C638" s="37">
        <v>1000</v>
      </c>
      <c r="D638" s="296" t="s">
        <v>274</v>
      </c>
      <c r="E638" s="371"/>
      <c r="F638" s="296" t="s">
        <v>229</v>
      </c>
      <c r="G638" s="363"/>
      <c r="H638" s="363"/>
      <c r="I638" s="363"/>
      <c r="J638" s="363"/>
      <c r="K638" s="363"/>
      <c r="L638" s="363"/>
      <c r="M638" s="363"/>
      <c r="N638" s="363"/>
      <c r="O638" s="363"/>
    </row>
    <row r="639" spans="1:15" ht="14.5">
      <c r="A639" s="363"/>
      <c r="B639" s="64" t="s">
        <v>3519</v>
      </c>
      <c r="C639" s="37">
        <v>1800</v>
      </c>
      <c r="D639" s="296" t="s">
        <v>274</v>
      </c>
      <c r="E639" s="371"/>
      <c r="F639" s="296" t="s">
        <v>229</v>
      </c>
      <c r="G639" s="363"/>
      <c r="H639" s="363"/>
      <c r="I639" s="363"/>
      <c r="J639" s="363"/>
      <c r="K639" s="363"/>
      <c r="L639" s="363"/>
      <c r="M639" s="363"/>
      <c r="N639" s="363"/>
      <c r="O639" s="363"/>
    </row>
    <row r="640" spans="1:15" ht="14.5">
      <c r="A640" s="363"/>
      <c r="B640" s="64" t="s">
        <v>3612</v>
      </c>
      <c r="C640" s="37">
        <v>2300</v>
      </c>
      <c r="D640" s="296" t="s">
        <v>274</v>
      </c>
      <c r="E640" s="371"/>
      <c r="F640" s="296" t="s">
        <v>229</v>
      </c>
      <c r="G640" s="363"/>
      <c r="H640" s="363"/>
      <c r="I640" s="363"/>
      <c r="J640" s="363"/>
      <c r="K640" s="363"/>
      <c r="L640" s="363"/>
      <c r="M640" s="363"/>
      <c r="N640" s="363"/>
      <c r="O640" s="363"/>
    </row>
    <row r="641" spans="1:15" ht="14.5">
      <c r="A641" s="363"/>
      <c r="B641" s="64" t="s">
        <v>3520</v>
      </c>
      <c r="C641" s="37">
        <v>1600</v>
      </c>
      <c r="D641" s="296" t="s">
        <v>274</v>
      </c>
      <c r="E641" s="371"/>
      <c r="F641" s="296" t="s">
        <v>229</v>
      </c>
      <c r="G641" s="363"/>
      <c r="H641" s="363"/>
      <c r="I641" s="363"/>
      <c r="J641" s="363"/>
      <c r="K641" s="363"/>
      <c r="L641" s="363"/>
      <c r="M641" s="363"/>
      <c r="N641" s="363"/>
      <c r="O641" s="363"/>
    </row>
    <row r="642" spans="1:15" ht="14.5">
      <c r="A642" s="363"/>
      <c r="B642" s="64" t="s">
        <v>3521</v>
      </c>
      <c r="C642" s="37">
        <v>400</v>
      </c>
      <c r="D642" s="296" t="s">
        <v>274</v>
      </c>
      <c r="E642" s="371"/>
      <c r="F642" s="296" t="s">
        <v>229</v>
      </c>
      <c r="G642" s="363"/>
      <c r="H642" s="363"/>
      <c r="I642" s="363"/>
      <c r="J642" s="363"/>
      <c r="K642" s="363"/>
      <c r="L642" s="363"/>
      <c r="M642" s="363"/>
      <c r="N642" s="363"/>
      <c r="O642" s="363"/>
    </row>
    <row r="643" spans="1:15" ht="14.5">
      <c r="A643" s="363"/>
      <c r="B643" s="64" t="s">
        <v>3522</v>
      </c>
      <c r="C643" s="37">
        <v>600</v>
      </c>
      <c r="D643" s="296" t="s">
        <v>274</v>
      </c>
      <c r="E643" s="371"/>
      <c r="F643" s="296" t="s">
        <v>229</v>
      </c>
      <c r="G643" s="363"/>
      <c r="H643" s="363"/>
      <c r="I643" s="363"/>
      <c r="J643" s="363"/>
      <c r="K643" s="363"/>
      <c r="L643" s="363"/>
      <c r="M643" s="363"/>
      <c r="N643" s="363"/>
      <c r="O643" s="363"/>
    </row>
    <row r="644" spans="1:15" ht="14.5">
      <c r="B644" s="64" t="s">
        <v>3523</v>
      </c>
      <c r="C644" s="37">
        <v>500</v>
      </c>
      <c r="D644" s="296" t="s">
        <v>274</v>
      </c>
      <c r="E644" s="371"/>
      <c r="F644" s="296" t="s">
        <v>229</v>
      </c>
      <c r="I644" s="363"/>
      <c r="J644" s="363"/>
    </row>
    <row r="645" spans="1:15" ht="14.5">
      <c r="B645" s="64" t="s">
        <v>3613</v>
      </c>
      <c r="C645" s="37">
        <v>250</v>
      </c>
      <c r="D645" s="296" t="s">
        <v>274</v>
      </c>
      <c r="E645" s="371"/>
      <c r="F645" s="296" t="s">
        <v>229</v>
      </c>
      <c r="I645" s="363"/>
      <c r="J645" s="363"/>
    </row>
    <row r="646" spans="1:15" ht="14.5">
      <c r="B646" s="64" t="s">
        <v>3614</v>
      </c>
      <c r="C646" s="37">
        <v>390</v>
      </c>
      <c r="D646" s="296" t="s">
        <v>274</v>
      </c>
      <c r="E646" s="371"/>
      <c r="F646" s="296" t="s">
        <v>229</v>
      </c>
      <c r="I646" s="363"/>
      <c r="J646" s="363"/>
    </row>
    <row r="647" spans="1:15" ht="14.5">
      <c r="B647" s="64" t="s">
        <v>3639</v>
      </c>
      <c r="C647" s="37">
        <v>170</v>
      </c>
      <c r="D647" s="296" t="s">
        <v>274</v>
      </c>
      <c r="E647" s="371"/>
      <c r="F647" s="296" t="s">
        <v>229</v>
      </c>
      <c r="I647" s="363"/>
      <c r="J647" s="363"/>
    </row>
    <row r="648" spans="1:15" ht="14.5">
      <c r="B648" s="64" t="s">
        <v>3524</v>
      </c>
      <c r="C648" s="37">
        <v>170</v>
      </c>
      <c r="D648" s="296" t="s">
        <v>274</v>
      </c>
      <c r="E648" s="371"/>
      <c r="F648" s="296" t="s">
        <v>229</v>
      </c>
      <c r="I648" s="363"/>
      <c r="J648" s="363"/>
    </row>
    <row r="649" spans="1:15" ht="14.5">
      <c r="B649" s="64" t="s">
        <v>3525</v>
      </c>
      <c r="C649" s="37">
        <v>600</v>
      </c>
      <c r="D649" s="296" t="s">
        <v>274</v>
      </c>
      <c r="E649" s="371"/>
      <c r="F649" s="296" t="s">
        <v>229</v>
      </c>
      <c r="I649" s="363"/>
      <c r="J649" s="363"/>
    </row>
    <row r="650" spans="1:15" ht="14.5">
      <c r="B650" s="64" t="s">
        <v>3615</v>
      </c>
      <c r="C650" s="37">
        <v>1190</v>
      </c>
      <c r="D650" s="296" t="s">
        <v>274</v>
      </c>
      <c r="E650" s="371"/>
      <c r="F650" s="296" t="s">
        <v>229</v>
      </c>
      <c r="I650" s="363"/>
      <c r="J650" s="363"/>
    </row>
    <row r="651" spans="1:15" ht="14.5">
      <c r="B651" s="64" t="s">
        <v>3616</v>
      </c>
      <c r="C651" s="37">
        <v>590</v>
      </c>
      <c r="D651" s="296" t="s">
        <v>274</v>
      </c>
      <c r="E651" s="371"/>
      <c r="F651" s="296" t="s">
        <v>229</v>
      </c>
      <c r="I651" s="363"/>
      <c r="J651" s="363"/>
    </row>
    <row r="652" spans="1:15" ht="14.5">
      <c r="B652" s="64" t="s">
        <v>3617</v>
      </c>
      <c r="C652" s="37">
        <v>560</v>
      </c>
      <c r="D652" s="296" t="s">
        <v>274</v>
      </c>
      <c r="E652" s="371"/>
      <c r="F652" s="296" t="s">
        <v>229</v>
      </c>
      <c r="I652" s="363"/>
      <c r="J652" s="363"/>
    </row>
    <row r="653" spans="1:15">
      <c r="I653" s="363"/>
      <c r="J653" s="363"/>
    </row>
    <row r="654" spans="1:15">
      <c r="I654" s="363"/>
      <c r="J654" s="363"/>
    </row>
    <row r="655" spans="1:15">
      <c r="A655" s="346" t="s">
        <v>3631</v>
      </c>
      <c r="B655" s="271" t="s">
        <v>3488</v>
      </c>
      <c r="I655" s="363"/>
      <c r="J655" s="363"/>
    </row>
    <row r="656" spans="1:15" ht="14.5">
      <c r="B656" s="146" t="s">
        <v>3490</v>
      </c>
      <c r="C656" t="s">
        <v>3429</v>
      </c>
      <c r="I656" s="363"/>
      <c r="J656" s="363"/>
    </row>
    <row r="657" spans="2:10">
      <c r="B657" s="146" t="s">
        <v>3492</v>
      </c>
      <c r="C657" s="275" t="s">
        <v>3635</v>
      </c>
      <c r="I657" s="363"/>
      <c r="J657" s="363"/>
    </row>
    <row r="658" spans="2:10" ht="14.5">
      <c r="B658" s="146" t="s">
        <v>3493</v>
      </c>
      <c r="C658" s="101" t="s">
        <v>3426</v>
      </c>
      <c r="I658" s="363"/>
      <c r="J658" s="363"/>
    </row>
    <row r="659" spans="2:10" ht="14.5">
      <c r="B659" s="146" t="s">
        <v>3494</v>
      </c>
      <c r="C659" s="101" t="s">
        <v>3436</v>
      </c>
      <c r="I659" s="363"/>
      <c r="J659" s="363"/>
    </row>
    <row r="660" spans="2:10" ht="14.5">
      <c r="B660" s="146" t="s">
        <v>3497</v>
      </c>
      <c r="C660" s="101" t="s">
        <v>3426</v>
      </c>
      <c r="I660" s="363"/>
      <c r="J660" s="363"/>
    </row>
    <row r="661" spans="2:10" ht="14.5">
      <c r="B661" s="146" t="s">
        <v>3500</v>
      </c>
      <c r="C661" s="101" t="s">
        <v>3425</v>
      </c>
      <c r="F661"/>
      <c r="I661" s="363"/>
      <c r="J661" s="363"/>
    </row>
    <row r="662" spans="2:10" ht="14.5">
      <c r="B662" s="146" t="s">
        <v>3529</v>
      </c>
      <c r="C662" s="375" t="s">
        <v>3632</v>
      </c>
      <c r="F662"/>
      <c r="I662" s="363"/>
      <c r="J662" s="363"/>
    </row>
    <row r="663" spans="2:10" ht="14.5">
      <c r="B663" s="146" t="s">
        <v>3512</v>
      </c>
      <c r="C663" s="101" t="s">
        <v>3436</v>
      </c>
      <c r="F663"/>
      <c r="I663" s="363"/>
      <c r="J663" s="363"/>
    </row>
    <row r="664" spans="2:10" ht="14.5">
      <c r="B664" s="146" t="s">
        <v>3483</v>
      </c>
      <c r="C664" s="101" t="s">
        <v>3427</v>
      </c>
      <c r="F664"/>
      <c r="I664" s="363"/>
      <c r="J664" s="363"/>
    </row>
    <row r="665" spans="2:10" ht="14.5">
      <c r="B665" s="146" t="s">
        <v>3481</v>
      </c>
      <c r="C665" s="101" t="s">
        <v>3633</v>
      </c>
      <c r="F665"/>
      <c r="I665" s="363"/>
      <c r="J665" s="363"/>
    </row>
    <row r="666" spans="2:10" ht="14.5">
      <c r="B666" s="146" t="s">
        <v>3515</v>
      </c>
      <c r="C666" s="101" t="s">
        <v>3378</v>
      </c>
      <c r="F666"/>
      <c r="I666" s="363"/>
      <c r="J666" s="363"/>
    </row>
    <row r="667" spans="2:10" ht="14.5">
      <c r="B667" s="146" t="s">
        <v>3609</v>
      </c>
      <c r="C667" s="101" t="s">
        <v>3426</v>
      </c>
      <c r="F667"/>
      <c r="I667" s="363"/>
      <c r="J667" s="363"/>
    </row>
    <row r="668" spans="2:10" ht="14.5">
      <c r="B668" s="146" t="s">
        <v>3610</v>
      </c>
      <c r="C668" s="101" t="s">
        <v>3426</v>
      </c>
      <c r="F668"/>
      <c r="I668" s="363"/>
      <c r="J668" s="363"/>
    </row>
    <row r="669" spans="2:10" ht="14.5">
      <c r="B669" s="146" t="s">
        <v>3516</v>
      </c>
      <c r="C669" s="101" t="s">
        <v>3436</v>
      </c>
      <c r="F669"/>
      <c r="I669" s="363"/>
      <c r="J669" s="363"/>
    </row>
    <row r="670" spans="2:10" ht="14.5">
      <c r="B670" s="146" t="s">
        <v>3505</v>
      </c>
      <c r="C670" s="101" t="s">
        <v>3426</v>
      </c>
      <c r="F670"/>
      <c r="I670" s="363"/>
      <c r="J670" s="363"/>
    </row>
    <row r="671" spans="2:10" ht="14.5">
      <c r="B671" s="146" t="s">
        <v>3517</v>
      </c>
      <c r="C671" s="101" t="s">
        <v>3633</v>
      </c>
      <c r="F671"/>
      <c r="I671" s="363"/>
      <c r="J671" s="363"/>
    </row>
    <row r="672" spans="2:10" ht="14.5">
      <c r="B672" s="146" t="s">
        <v>3611</v>
      </c>
      <c r="C672" s="101" t="s">
        <v>3378</v>
      </c>
      <c r="F672"/>
      <c r="I672" s="363"/>
      <c r="J672" s="363"/>
    </row>
    <row r="673" spans="1:10" ht="14.5">
      <c r="B673" s="146" t="s">
        <v>3612</v>
      </c>
      <c r="C673" s="101" t="s">
        <v>3378</v>
      </c>
      <c r="F673"/>
      <c r="I673" s="363"/>
      <c r="J673" s="363"/>
    </row>
    <row r="674" spans="1:10" ht="14.5">
      <c r="B674" s="146" t="s">
        <v>3521</v>
      </c>
      <c r="C674" s="101" t="s">
        <v>3426</v>
      </c>
      <c r="F674"/>
      <c r="I674" s="363"/>
      <c r="J674" s="363"/>
    </row>
    <row r="675" spans="1:10" ht="14.5">
      <c r="B675" s="146" t="s">
        <v>3522</v>
      </c>
      <c r="C675" s="101" t="s">
        <v>3436</v>
      </c>
      <c r="F675"/>
      <c r="I675" s="363"/>
      <c r="J675" s="363"/>
    </row>
    <row r="676" spans="1:10" ht="14.5">
      <c r="B676" s="64" t="s">
        <v>3639</v>
      </c>
      <c r="C676" s="101" t="s">
        <v>3425</v>
      </c>
      <c r="I676" s="363"/>
      <c r="J676" s="363"/>
    </row>
    <row r="677" spans="1:10">
      <c r="B677" s="146" t="s">
        <v>3615</v>
      </c>
      <c r="C677" s="375" t="s">
        <v>3634</v>
      </c>
      <c r="I677" s="363"/>
      <c r="J677" s="363"/>
    </row>
    <row r="678" spans="1:10">
      <c r="B678" s="146" t="s">
        <v>3616</v>
      </c>
      <c r="C678" s="375" t="s">
        <v>3634</v>
      </c>
      <c r="I678" s="363"/>
      <c r="J678" s="363"/>
    </row>
    <row r="679" spans="1:10">
      <c r="B679" s="146" t="s">
        <v>3617</v>
      </c>
      <c r="C679" s="375" t="s">
        <v>3634</v>
      </c>
      <c r="I679" s="363"/>
      <c r="J679" s="363"/>
    </row>
    <row r="680" spans="1:10">
      <c r="I680" s="363"/>
      <c r="J680" s="363"/>
    </row>
    <row r="681" spans="1:10" ht="14.5">
      <c r="F681"/>
      <c r="I681" s="363"/>
      <c r="J681" s="363"/>
    </row>
    <row r="682" spans="1:10">
      <c r="I682" s="363"/>
      <c r="J682" s="363"/>
    </row>
    <row r="683" spans="1:10">
      <c r="I683" s="363"/>
      <c r="J683" s="363"/>
    </row>
    <row r="684" spans="1:10">
      <c r="A684" s="346" t="s">
        <v>3691</v>
      </c>
      <c r="B684" s="271" t="s">
        <v>3692</v>
      </c>
      <c r="C684" s="364"/>
      <c r="D684" s="363"/>
      <c r="E684" s="363"/>
      <c r="F684" s="363"/>
      <c r="I684" s="363"/>
      <c r="J684" s="363"/>
    </row>
    <row r="685" spans="1:10">
      <c r="A685" s="363"/>
      <c r="B685" s="419" t="s">
        <v>3696</v>
      </c>
      <c r="C685" s="296">
        <v>0.39</v>
      </c>
      <c r="D685" s="267" t="s">
        <v>305</v>
      </c>
      <c r="E685" s="267" t="s">
        <v>229</v>
      </c>
      <c r="F685" s="296"/>
      <c r="I685" s="363"/>
      <c r="J685" s="363"/>
    </row>
    <row r="686" spans="1:10">
      <c r="A686" s="363"/>
      <c r="B686" s="419" t="s">
        <v>3695</v>
      </c>
      <c r="C686" s="296">
        <v>0.67</v>
      </c>
      <c r="D686" s="267" t="s">
        <v>305</v>
      </c>
      <c r="E686" s="267" t="s">
        <v>229</v>
      </c>
      <c r="F686" s="296"/>
      <c r="I686" s="363"/>
      <c r="J686" s="363"/>
    </row>
    <row r="687" spans="1:10">
      <c r="A687" s="363"/>
      <c r="B687" s="421" t="s">
        <v>3700</v>
      </c>
      <c r="C687" s="420">
        <v>0.91900000000000004</v>
      </c>
      <c r="D687" s="267" t="s">
        <v>305</v>
      </c>
      <c r="E687" s="267" t="s">
        <v>229</v>
      </c>
      <c r="F687" s="296"/>
      <c r="I687" s="363"/>
      <c r="J687" s="363"/>
    </row>
    <row r="688" spans="1:10">
      <c r="A688" s="363"/>
      <c r="B688" s="419" t="s">
        <v>3697</v>
      </c>
      <c r="C688" s="296">
        <v>1.87</v>
      </c>
      <c r="D688" s="267" t="s">
        <v>305</v>
      </c>
      <c r="E688" s="267" t="s">
        <v>229</v>
      </c>
      <c r="F688" s="296"/>
      <c r="I688" s="363"/>
      <c r="J688" s="363"/>
    </row>
    <row r="689" spans="1:10">
      <c r="A689" s="363"/>
      <c r="B689" s="419" t="s">
        <v>3699</v>
      </c>
      <c r="C689" s="296">
        <v>0.40300000000000002</v>
      </c>
      <c r="D689" s="267" t="s">
        <v>305</v>
      </c>
      <c r="E689" s="267" t="s">
        <v>229</v>
      </c>
      <c r="F689" s="296"/>
      <c r="I689" s="363"/>
      <c r="J689" s="363"/>
    </row>
    <row r="690" spans="1:10">
      <c r="A690" s="363"/>
      <c r="B690" s="419" t="s">
        <v>3698</v>
      </c>
      <c r="C690" s="296">
        <v>2.38</v>
      </c>
      <c r="D690" s="267" t="s">
        <v>305</v>
      </c>
      <c r="E690" s="267" t="s">
        <v>229</v>
      </c>
      <c r="F690" s="296"/>
      <c r="I690" s="363"/>
      <c r="J690" s="363"/>
    </row>
    <row r="691" spans="1:10">
      <c r="A691" s="363"/>
      <c r="B691" s="418"/>
      <c r="I691" s="363"/>
      <c r="J691" s="363"/>
    </row>
    <row r="692" spans="1:10">
      <c r="A692" s="363"/>
      <c r="B692" s="296"/>
      <c r="C692" s="296"/>
      <c r="D692" s="296"/>
      <c r="E692" s="296"/>
      <c r="F692" s="296"/>
      <c r="I692" s="363"/>
      <c r="J692" s="363"/>
    </row>
    <row r="693" spans="1:10">
      <c r="I693" s="363"/>
      <c r="J693" s="363"/>
    </row>
    <row r="694" spans="1:10">
      <c r="I694" s="363"/>
      <c r="J694" s="363"/>
    </row>
    <row r="695" spans="1:10">
      <c r="A695" s="346" t="s">
        <v>3691</v>
      </c>
      <c r="B695" s="271" t="s">
        <v>3693</v>
      </c>
      <c r="C695" s="364"/>
      <c r="D695" s="363"/>
      <c r="E695" s="363"/>
      <c r="F695" s="363"/>
      <c r="I695" s="363"/>
      <c r="J695" s="363"/>
    </row>
    <row r="696" spans="1:10">
      <c r="A696" s="363"/>
      <c r="B696" s="241" t="s">
        <v>533</v>
      </c>
      <c r="C696" s="2">
        <v>0.91900000000000004</v>
      </c>
      <c r="D696" s="267" t="s">
        <v>305</v>
      </c>
      <c r="E696" s="267" t="s">
        <v>229</v>
      </c>
      <c r="F696" s="296"/>
      <c r="I696" s="363"/>
      <c r="J696" s="363"/>
    </row>
    <row r="697" spans="1:10">
      <c r="A697" s="363"/>
      <c r="B697" s="241" t="s">
        <v>543</v>
      </c>
      <c r="C697" s="2">
        <v>43.1</v>
      </c>
      <c r="D697" s="267" t="s">
        <v>213</v>
      </c>
      <c r="E697" s="267" t="s">
        <v>229</v>
      </c>
      <c r="F697" s="296"/>
      <c r="I697" s="363"/>
      <c r="J697" s="363"/>
    </row>
    <row r="698" spans="1:10">
      <c r="A698" s="363"/>
      <c r="B698" s="417" t="s">
        <v>3694</v>
      </c>
      <c r="C698" s="296">
        <v>2930</v>
      </c>
      <c r="D698" s="267" t="s">
        <v>213</v>
      </c>
      <c r="E698" s="296"/>
      <c r="F698" s="296"/>
      <c r="I698" s="363"/>
      <c r="J698" s="363"/>
    </row>
    <row r="699" spans="1:10">
      <c r="A699" s="363"/>
      <c r="B699" s="296"/>
      <c r="C699" s="296"/>
      <c r="D699" s="296"/>
      <c r="E699" s="371"/>
      <c r="F699" s="296"/>
      <c r="I699" s="363"/>
      <c r="J699" s="363"/>
    </row>
    <row r="700" spans="1:10">
      <c r="A700" s="363"/>
      <c r="B700" s="419" t="s">
        <v>3697</v>
      </c>
      <c r="C700" s="296">
        <v>1.87</v>
      </c>
      <c r="D700" s="267" t="s">
        <v>305</v>
      </c>
      <c r="E700" s="267" t="s">
        <v>229</v>
      </c>
      <c r="F700" s="296"/>
      <c r="I700" s="363"/>
      <c r="J700" s="363"/>
    </row>
    <row r="701" spans="1:10">
      <c r="A701" s="363"/>
      <c r="B701" s="419" t="s">
        <v>3699</v>
      </c>
      <c r="C701" s="296">
        <v>0.40300000000000002</v>
      </c>
      <c r="D701" s="267" t="s">
        <v>305</v>
      </c>
      <c r="E701" s="267" t="s">
        <v>229</v>
      </c>
      <c r="F701" s="296"/>
      <c r="I701" s="363"/>
      <c r="J701" s="363"/>
    </row>
    <row r="702" spans="1:10">
      <c r="A702" s="363"/>
      <c r="B702" s="419" t="s">
        <v>3698</v>
      </c>
      <c r="C702" s="296">
        <v>2.38</v>
      </c>
      <c r="D702" s="267" t="s">
        <v>305</v>
      </c>
      <c r="E702" s="267" t="s">
        <v>229</v>
      </c>
      <c r="F702" s="296"/>
      <c r="I702" s="363"/>
      <c r="J702" s="363"/>
    </row>
    <row r="703" spans="1:10" ht="14.5">
      <c r="A703" s="363"/>
      <c r="B703" s="64" t="s">
        <v>3518</v>
      </c>
      <c r="C703" s="37">
        <v>800</v>
      </c>
      <c r="D703" s="296" t="s">
        <v>274</v>
      </c>
      <c r="E703" s="296" t="s">
        <v>229</v>
      </c>
      <c r="F703" s="296"/>
      <c r="I703" s="363"/>
      <c r="J703" s="363"/>
    </row>
    <row r="704" spans="1:10">
      <c r="I704" s="363"/>
      <c r="J704" s="363"/>
    </row>
    <row r="705" spans="1:10">
      <c r="B705" s="267" t="s">
        <v>3763</v>
      </c>
      <c r="C705" s="2">
        <v>3.0299999999999997E-2</v>
      </c>
      <c r="D705" s="267" t="s">
        <v>37</v>
      </c>
      <c r="E705" s="267" t="s">
        <v>3893</v>
      </c>
      <c r="F705" s="267" t="s">
        <v>3894</v>
      </c>
      <c r="I705" s="363"/>
      <c r="J705" s="363"/>
    </row>
    <row r="706" spans="1:10">
      <c r="I706" s="363"/>
      <c r="J706" s="363"/>
    </row>
    <row r="707" spans="1:10">
      <c r="A707" s="346" t="s">
        <v>3794</v>
      </c>
      <c r="B707" s="271" t="s">
        <v>3795</v>
      </c>
      <c r="C707" s="364"/>
      <c r="D707" s="363"/>
      <c r="E707" s="363"/>
      <c r="F707" s="363"/>
      <c r="I707" s="363"/>
      <c r="J707" s="363"/>
    </row>
    <row r="708" spans="1:10">
      <c r="A708" s="363"/>
      <c r="B708" s="421" t="s">
        <v>3798</v>
      </c>
      <c r="C708" s="2">
        <v>1.4</v>
      </c>
      <c r="D708" s="267" t="s">
        <v>3796</v>
      </c>
      <c r="E708" s="267" t="s">
        <v>3797</v>
      </c>
      <c r="F708" s="296"/>
      <c r="I708" s="363"/>
      <c r="J708" s="363"/>
    </row>
    <row r="709" spans="1:10">
      <c r="A709" s="363"/>
      <c r="B709" s="434" t="s">
        <v>3800</v>
      </c>
      <c r="C709" s="267">
        <v>4.7300000000000004</v>
      </c>
      <c r="D709" s="267" t="s">
        <v>3796</v>
      </c>
      <c r="E709" s="371" t="s">
        <v>3805</v>
      </c>
      <c r="F709" s="296"/>
      <c r="I709" s="363"/>
      <c r="J709" s="363"/>
    </row>
    <row r="710" spans="1:10">
      <c r="A710" s="363"/>
      <c r="B710" s="434" t="s">
        <v>3801</v>
      </c>
      <c r="C710" s="267">
        <v>8.5299999999999994</v>
      </c>
      <c r="D710" s="267" t="s">
        <v>3796</v>
      </c>
      <c r="E710" s="371" t="s">
        <v>3805</v>
      </c>
      <c r="F710" s="296"/>
      <c r="I710" s="363"/>
      <c r="J710" s="363"/>
    </row>
    <row r="711" spans="1:10">
      <c r="A711" s="363"/>
      <c r="B711" s="434" t="s">
        <v>3802</v>
      </c>
      <c r="C711" s="267">
        <v>8.4700000000000006</v>
      </c>
      <c r="D711" s="267" t="s">
        <v>3796</v>
      </c>
      <c r="E711" s="371" t="s">
        <v>3805</v>
      </c>
      <c r="F711" s="296"/>
      <c r="I711" s="363"/>
      <c r="J711" s="363"/>
    </row>
    <row r="712" spans="1:10">
      <c r="A712" s="363"/>
      <c r="B712" s="434" t="s">
        <v>3803</v>
      </c>
      <c r="C712" s="267">
        <v>11.43</v>
      </c>
      <c r="D712" s="267" t="s">
        <v>3796</v>
      </c>
      <c r="E712" s="371" t="s">
        <v>3805</v>
      </c>
      <c r="F712" s="296"/>
      <c r="I712" s="363"/>
      <c r="J712" s="363"/>
    </row>
    <row r="713" spans="1:10">
      <c r="A713" s="363"/>
      <c r="B713" s="434" t="s">
        <v>3804</v>
      </c>
      <c r="C713" s="2">
        <v>17.11</v>
      </c>
      <c r="D713" s="296" t="s">
        <v>274</v>
      </c>
      <c r="E713" s="371" t="s">
        <v>3805</v>
      </c>
      <c r="F713" s="296"/>
      <c r="I713" s="363"/>
      <c r="J713" s="363"/>
    </row>
    <row r="714" spans="1:10">
      <c r="A714" s="363"/>
      <c r="B714" s="421" t="s">
        <v>3799</v>
      </c>
      <c r="C714" s="267">
        <v>5.2</v>
      </c>
      <c r="D714" s="267" t="s">
        <v>3796</v>
      </c>
      <c r="E714" s="267" t="s">
        <v>3797</v>
      </c>
      <c r="F714" s="296"/>
      <c r="I714" s="363"/>
      <c r="J714" s="363"/>
    </row>
    <row r="715" spans="1:10" ht="14.5">
      <c r="B715" s="64" t="s">
        <v>3515</v>
      </c>
      <c r="C715" s="37">
        <v>320</v>
      </c>
      <c r="D715" s="296" t="s">
        <v>274</v>
      </c>
      <c r="E715" s="371"/>
      <c r="F715" s="296" t="s">
        <v>229</v>
      </c>
      <c r="I715" s="363"/>
      <c r="J715" s="363"/>
    </row>
    <row r="716" spans="1:10">
      <c r="I716" s="363"/>
      <c r="J716" s="363"/>
    </row>
    <row r="717" spans="1:10">
      <c r="I717" s="363"/>
      <c r="J717" s="363"/>
    </row>
    <row r="718" spans="1:10">
      <c r="I718" s="363"/>
      <c r="J718" s="363"/>
    </row>
    <row r="719" spans="1:10">
      <c r="I719" s="363"/>
      <c r="J719" s="363"/>
    </row>
    <row r="720" spans="1:10">
      <c r="I720" s="363"/>
      <c r="J720" s="363"/>
    </row>
    <row r="721" spans="1:10">
      <c r="A721" s="346" t="s">
        <v>3858</v>
      </c>
      <c r="B721" s="271" t="s">
        <v>3859</v>
      </c>
      <c r="C721" s="364"/>
      <c r="D721" s="363"/>
      <c r="E721" s="363"/>
      <c r="I721" s="363"/>
      <c r="J721" s="363"/>
    </row>
    <row r="722" spans="1:10" ht="14.5">
      <c r="B722" s="517" t="s">
        <v>3860</v>
      </c>
      <c r="C722" s="518">
        <f>C726</f>
        <v>5.7599999999999998E-2</v>
      </c>
      <c r="D722" s="365" t="s">
        <v>37</v>
      </c>
      <c r="E722" s="365" t="s">
        <v>3877</v>
      </c>
      <c r="I722" s="363"/>
      <c r="J722" s="363"/>
    </row>
    <row r="723" spans="1:10" ht="14.5">
      <c r="B723" s="517" t="s">
        <v>3861</v>
      </c>
      <c r="C723" s="518">
        <f>C727</f>
        <v>0.10639999999999999</v>
      </c>
      <c r="D723" s="365" t="s">
        <v>37</v>
      </c>
      <c r="E723" s="519" t="s">
        <v>3874</v>
      </c>
      <c r="I723" s="363"/>
      <c r="J723" s="363"/>
    </row>
    <row r="724" spans="1:10" ht="14.5">
      <c r="B724" s="517" t="s">
        <v>3862</v>
      </c>
      <c r="C724" s="518">
        <f>C728</f>
        <v>0.15519999999999998</v>
      </c>
      <c r="D724" s="365" t="s">
        <v>37</v>
      </c>
      <c r="E724" s="519" t="s">
        <v>3875</v>
      </c>
      <c r="I724" s="363"/>
      <c r="J724" s="363"/>
    </row>
    <row r="725" spans="1:10" ht="14.5">
      <c r="B725" s="517" t="s">
        <v>3878</v>
      </c>
      <c r="C725" s="518">
        <f>C729</f>
        <v>0.25279999999999997</v>
      </c>
      <c r="D725" s="365" t="s">
        <v>37</v>
      </c>
      <c r="E725" s="519" t="s">
        <v>3876</v>
      </c>
      <c r="I725" s="363"/>
      <c r="J725" s="363"/>
    </row>
    <row r="726" spans="1:10" ht="14.5">
      <c r="B726" s="517" t="s">
        <v>3863</v>
      </c>
      <c r="C726" s="518">
        <f>C730+C731</f>
        <v>5.7599999999999998E-2</v>
      </c>
      <c r="D726" s="365" t="s">
        <v>37</v>
      </c>
      <c r="E726" s="520" t="s">
        <v>3868</v>
      </c>
      <c r="I726" s="363"/>
      <c r="J726" s="363"/>
    </row>
    <row r="727" spans="1:10" ht="14.5">
      <c r="B727" s="517" t="s">
        <v>3864</v>
      </c>
      <c r="C727" s="518">
        <f>C731+(C730*2)</f>
        <v>0.10639999999999999</v>
      </c>
      <c r="D727" s="365" t="s">
        <v>37</v>
      </c>
      <c r="E727" s="519" t="s">
        <v>3871</v>
      </c>
      <c r="I727" s="363"/>
      <c r="J727" s="363"/>
    </row>
    <row r="728" spans="1:10" ht="14.5">
      <c r="B728" s="517" t="s">
        <v>3865</v>
      </c>
      <c r="C728" s="518">
        <f>C731+(C730*3)</f>
        <v>0.15519999999999998</v>
      </c>
      <c r="D728" s="365" t="s">
        <v>37</v>
      </c>
      <c r="E728" s="519" t="s">
        <v>3872</v>
      </c>
      <c r="I728" s="363"/>
      <c r="J728" s="363"/>
    </row>
    <row r="729" spans="1:10" ht="14.5">
      <c r="B729" s="517" t="s">
        <v>3879</v>
      </c>
      <c r="C729" s="518">
        <f>C731+(C730*5)</f>
        <v>0.25279999999999997</v>
      </c>
      <c r="D729" s="365" t="s">
        <v>37</v>
      </c>
      <c r="E729" s="519" t="s">
        <v>3873</v>
      </c>
      <c r="I729" s="363"/>
      <c r="J729" s="363"/>
    </row>
    <row r="730" spans="1:10" ht="14.5">
      <c r="B730" s="459" t="s">
        <v>3866</v>
      </c>
      <c r="C730" s="460">
        <f>48.8/1000</f>
        <v>4.8799999999999996E-2</v>
      </c>
      <c r="D730" s="267" t="s">
        <v>37</v>
      </c>
      <c r="E730" s="461" t="s">
        <v>3868</v>
      </c>
      <c r="F730" s="462" t="s">
        <v>3869</v>
      </c>
      <c r="I730" s="363"/>
      <c r="J730" s="363"/>
    </row>
    <row r="731" spans="1:10" ht="14.5">
      <c r="B731" s="459" t="s">
        <v>3867</v>
      </c>
      <c r="C731" s="460">
        <f>8.8/1000</f>
        <v>8.8000000000000005E-3</v>
      </c>
      <c r="D731" s="267" t="s">
        <v>37</v>
      </c>
      <c r="E731" s="461" t="s">
        <v>3868</v>
      </c>
      <c r="F731" s="462" t="s">
        <v>3870</v>
      </c>
      <c r="I731" s="363"/>
      <c r="J731" s="363"/>
    </row>
  </sheetData>
  <sortState ref="B530:F559">
    <sortCondition ref="B530:B559"/>
  </sortState>
  <mergeCells count="3">
    <mergeCell ref="A2:O2"/>
    <mergeCell ref="B4:E4"/>
    <mergeCell ref="K479:L479"/>
  </mergeCells>
  <phoneticPr fontId="9" type="noConversion"/>
  <conditionalFormatting sqref="A5:A1048576">
    <cfRule type="notContainsBlanks" dxfId="2" priority="2">
      <formula>LEN(TRIM(A5))&gt;0</formula>
    </cfRule>
  </conditionalFormatting>
  <hyperlinks>
    <hyperlink ref="E126" r:id="rId1" display="https://www.google.com/url?sa=t&amp;rct=j&amp;q=&amp;esrc=s&amp;source=web&amp;cd=&amp;ved=2ahUKEwiXopzw8qjxAhUc5uAKHdq5DRMQFjABegQICBAD&amp;url=https%3A%2F%2Fwww.afhypac.org%2Fdocuments%2Ftout-savoir%2FFiche%25209.1%2520-%2520PAC%2520dans%2520le%2520transport%2520automobile%2520revfev2018-thA.pdf&amp;usg=AOvVaw0j1uckNUB1yFr9sw92CKwm _x000a_&quot;La consommation en hydrogène d'un véhicule léger varie de 0.8 à 1.2 kg/100 km&quot;" xr:uid="{00000000-0004-0000-1500-000000000000}"/>
    <hyperlink ref="E309" r:id="rId2" xr:uid="{00000000-0004-0000-1500-000001000000}"/>
    <hyperlink ref="E173" r:id="rId3" xr:uid="{4ABA2669-2BAB-4064-987F-CA35DB7266A3}"/>
    <hyperlink ref="E730" r:id="rId4" xr:uid="{EA3E31D5-F536-4ACD-94BD-5F662FD03B2C}"/>
    <hyperlink ref="E731" r:id="rId5" xr:uid="{8C3E9765-3933-45C9-B4A6-72B03864D2EF}"/>
    <hyperlink ref="E726" r:id="rId6" xr:uid="{7ECCD51F-DDE4-4E80-9975-79D5F73B623A}"/>
    <hyperlink ref="N492" r:id="rId7" xr:uid="{E711B6B7-AB6F-4089-A9F4-3524B6A87E2F}"/>
  </hyperlink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711DA-A245-4B46-8C3D-76269F46490E}">
  <sheetPr>
    <tabColor theme="6" tint="0.79998168889431442"/>
  </sheetPr>
  <dimension ref="A1:O100"/>
  <sheetViews>
    <sheetView showGridLines="0" topLeftCell="A65" zoomScale="60" zoomScaleNormal="60" workbookViewId="0">
      <selection activeCell="G107" sqref="G107"/>
    </sheetView>
  </sheetViews>
  <sheetFormatPr baseColWidth="10" defaultColWidth="0" defaultRowHeight="14.5"/>
  <cols>
    <col min="1" max="1" width="25.81640625" bestFit="1" customWidth="1"/>
    <col min="2" max="2" width="9" style="112" customWidth="1"/>
    <col min="3" max="3" width="20.453125" style="112" customWidth="1"/>
    <col min="4" max="5" width="18.54296875" style="112" customWidth="1"/>
    <col min="6" max="6" width="27.08984375" style="112" customWidth="1"/>
    <col min="7" max="8" width="18.54296875" style="112" customWidth="1"/>
    <col min="9" max="9" width="11.453125" style="112" customWidth="1"/>
    <col min="10" max="10" width="11.1796875" style="112" customWidth="1"/>
    <col min="11" max="13" width="11.1796875" customWidth="1"/>
    <col min="14" max="15" width="0" hidden="1" customWidth="1"/>
    <col min="16" max="16384" width="11.1796875" hidden="1"/>
  </cols>
  <sheetData>
    <row r="1" spans="1:13" ht="21.25" customHeight="1" thickBot="1">
      <c r="A1" s="647" t="s">
        <v>3359</v>
      </c>
      <c r="B1" s="550" t="s">
        <v>4041</v>
      </c>
      <c r="C1" s="623"/>
      <c r="D1" s="623"/>
      <c r="E1" s="623"/>
      <c r="F1" s="623"/>
      <c r="G1" s="623"/>
      <c r="H1" s="623"/>
      <c r="I1" s="624"/>
      <c r="J1" s="598" t="s">
        <v>3391</v>
      </c>
      <c r="K1" s="599"/>
      <c r="L1" s="600"/>
    </row>
    <row r="2" spans="1:13" ht="18.5" customHeight="1" thickBot="1">
      <c r="A2" s="648"/>
      <c r="B2" s="133"/>
      <c r="C2" s="134"/>
      <c r="D2" s="134"/>
      <c r="E2" s="134"/>
      <c r="F2" s="504">
        <f>H35+H64+D85+D90+H81</f>
        <v>0</v>
      </c>
      <c r="I2" s="135"/>
      <c r="J2" s="610" t="s">
        <v>3457</v>
      </c>
      <c r="K2" s="611"/>
      <c r="L2" s="612"/>
    </row>
    <row r="3" spans="1:13" ht="39" customHeight="1">
      <c r="A3" s="338"/>
      <c r="B3" s="124"/>
      <c r="C3" s="677" t="s">
        <v>4042</v>
      </c>
      <c r="D3" s="644"/>
      <c r="E3" s="644"/>
      <c r="F3" s="644"/>
      <c r="G3" s="644"/>
      <c r="H3" s="644"/>
      <c r="I3" s="125"/>
      <c r="J3" s="331"/>
      <c r="K3" s="332"/>
      <c r="L3" s="333"/>
    </row>
    <row r="4" spans="1:13" ht="17.399999999999999" customHeight="1">
      <c r="A4" s="338"/>
      <c r="B4" s="124"/>
      <c r="C4" s="644"/>
      <c r="D4" s="644"/>
      <c r="E4" s="644"/>
      <c r="F4" s="644"/>
      <c r="G4" s="644"/>
      <c r="H4" s="644"/>
      <c r="I4" s="125"/>
      <c r="J4" s="331"/>
      <c r="K4" s="332"/>
      <c r="L4" s="333"/>
      <c r="M4" s="293"/>
    </row>
    <row r="5" spans="1:13" ht="16.75" customHeight="1">
      <c r="A5" s="338"/>
      <c r="B5" s="124"/>
      <c r="C5" s="644"/>
      <c r="D5" s="644"/>
      <c r="E5" s="644"/>
      <c r="F5" s="644"/>
      <c r="G5" s="644"/>
      <c r="H5" s="644"/>
      <c r="I5" s="125"/>
      <c r="J5" s="331"/>
      <c r="K5" s="332"/>
      <c r="L5" s="333"/>
    </row>
    <row r="6" spans="1:13" ht="38.25" customHeight="1">
      <c r="A6" s="341" t="s">
        <v>3357</v>
      </c>
      <c r="B6" s="124"/>
      <c r="C6" s="644"/>
      <c r="D6" s="644"/>
      <c r="E6" s="644"/>
      <c r="F6" s="644"/>
      <c r="G6" s="644"/>
      <c r="H6" s="644"/>
      <c r="I6" s="125"/>
      <c r="J6" s="331"/>
      <c r="K6" s="332"/>
      <c r="L6" s="333"/>
    </row>
    <row r="7" spans="1:13" ht="14.4" customHeight="1">
      <c r="A7" s="339" t="s">
        <v>3434</v>
      </c>
      <c r="B7" s="124"/>
      <c r="C7" s="111"/>
      <c r="D7" s="111"/>
      <c r="E7" s="111"/>
      <c r="F7" s="111"/>
      <c r="G7" s="111"/>
      <c r="H7" s="111"/>
      <c r="I7" s="125"/>
      <c r="J7" s="610" t="s">
        <v>3458</v>
      </c>
      <c r="K7" s="611"/>
      <c r="L7" s="612"/>
    </row>
    <row r="8" spans="1:13">
      <c r="A8" s="339" t="s">
        <v>7</v>
      </c>
      <c r="B8" s="124"/>
      <c r="C8" s="642" t="s">
        <v>3916</v>
      </c>
      <c r="D8" s="643"/>
      <c r="E8" s="643"/>
      <c r="F8" s="643"/>
      <c r="G8" s="643"/>
      <c r="H8" s="643"/>
      <c r="I8" s="125"/>
      <c r="J8" s="331"/>
      <c r="K8" s="332"/>
      <c r="L8" s="333"/>
    </row>
    <row r="9" spans="1:13">
      <c r="A9" s="339" t="s">
        <v>3427</v>
      </c>
      <c r="B9" s="124"/>
      <c r="C9" s="677" t="s">
        <v>4044</v>
      </c>
      <c r="D9" s="629"/>
      <c r="E9" s="629"/>
      <c r="F9" s="629"/>
      <c r="G9" s="629"/>
      <c r="H9" s="629"/>
      <c r="I9" s="125"/>
      <c r="J9" s="331"/>
      <c r="K9" s="332"/>
      <c r="L9" s="333"/>
    </row>
    <row r="10" spans="1:13">
      <c r="A10" s="340" t="s">
        <v>10</v>
      </c>
      <c r="B10" s="124"/>
      <c r="C10" s="629"/>
      <c r="D10" s="629"/>
      <c r="E10" s="629"/>
      <c r="F10" s="629"/>
      <c r="G10" s="629"/>
      <c r="H10" s="629"/>
      <c r="I10" s="125"/>
      <c r="J10" s="331"/>
      <c r="K10" s="332"/>
      <c r="L10" s="333"/>
    </row>
    <row r="11" spans="1:13" ht="14.4" customHeight="1">
      <c r="A11" s="340" t="s">
        <v>3645</v>
      </c>
      <c r="B11" s="127"/>
      <c r="C11" s="629"/>
      <c r="D11" s="629"/>
      <c r="E11" s="629"/>
      <c r="F11" s="629"/>
      <c r="G11" s="629"/>
      <c r="H11" s="629"/>
      <c r="I11" s="125"/>
      <c r="J11" s="331"/>
      <c r="K11" s="332"/>
      <c r="L11" s="333"/>
    </row>
    <row r="12" spans="1:13">
      <c r="A12" s="339" t="s">
        <v>3431</v>
      </c>
      <c r="B12" s="127"/>
      <c r="C12" s="629"/>
      <c r="D12" s="629"/>
      <c r="E12" s="629"/>
      <c r="F12" s="629"/>
      <c r="G12" s="629"/>
      <c r="H12" s="629"/>
      <c r="I12" s="125"/>
      <c r="J12" s="331"/>
      <c r="K12" s="332"/>
      <c r="L12" s="333"/>
    </row>
    <row r="13" spans="1:13">
      <c r="A13" s="340" t="s">
        <v>5</v>
      </c>
      <c r="B13" s="127"/>
      <c r="C13" s="629"/>
      <c r="D13" s="629"/>
      <c r="E13" s="629"/>
      <c r="F13" s="629"/>
      <c r="G13" s="629"/>
      <c r="H13" s="629"/>
      <c r="I13" s="125"/>
      <c r="J13" s="334"/>
      <c r="K13" s="335"/>
      <c r="L13" s="336"/>
    </row>
    <row r="14" spans="1:13">
      <c r="A14" s="339" t="s">
        <v>6</v>
      </c>
      <c r="B14" s="127"/>
      <c r="C14" s="629"/>
      <c r="D14" s="629"/>
      <c r="E14" s="629"/>
      <c r="F14" s="629"/>
      <c r="G14" s="629"/>
      <c r="H14" s="629"/>
      <c r="I14" s="125"/>
      <c r="J14" s="613" t="s">
        <v>3459</v>
      </c>
      <c r="K14" s="614"/>
      <c r="L14" s="615"/>
    </row>
    <row r="15" spans="1:13">
      <c r="A15" s="340" t="s">
        <v>12</v>
      </c>
      <c r="B15" s="127"/>
      <c r="C15" s="629"/>
      <c r="D15" s="629"/>
      <c r="E15" s="629"/>
      <c r="F15" s="629"/>
      <c r="G15" s="629"/>
      <c r="H15" s="629"/>
      <c r="I15" s="125"/>
      <c r="J15" s="616"/>
      <c r="K15" s="617"/>
      <c r="L15" s="618"/>
    </row>
    <row r="16" spans="1:13">
      <c r="A16" s="340" t="s">
        <v>14</v>
      </c>
      <c r="B16" s="127"/>
      <c r="C16" s="629"/>
      <c r="D16" s="629"/>
      <c r="E16" s="629"/>
      <c r="F16" s="629"/>
      <c r="G16" s="629"/>
      <c r="H16" s="629"/>
      <c r="I16" s="125"/>
      <c r="J16" s="616"/>
      <c r="K16" s="617"/>
      <c r="L16" s="618"/>
    </row>
    <row r="17" spans="1:12">
      <c r="A17" s="339" t="s">
        <v>3426</v>
      </c>
      <c r="B17" s="127"/>
      <c r="C17" s="300"/>
      <c r="D17" s="300"/>
      <c r="E17" s="300"/>
      <c r="F17" s="300"/>
      <c r="G17" s="300"/>
      <c r="H17" s="300"/>
      <c r="I17" s="125"/>
      <c r="J17" s="616"/>
      <c r="K17" s="617"/>
      <c r="L17" s="618"/>
    </row>
    <row r="18" spans="1:12">
      <c r="A18" s="340" t="s">
        <v>3918</v>
      </c>
      <c r="B18" s="127"/>
      <c r="I18" s="125"/>
      <c r="J18" s="616"/>
      <c r="K18" s="617"/>
      <c r="L18" s="618"/>
    </row>
    <row r="19" spans="1:12">
      <c r="A19" s="340" t="s">
        <v>3436</v>
      </c>
      <c r="B19" s="127"/>
      <c r="C19" s="111"/>
      <c r="D19" s="345" t="s">
        <v>3420</v>
      </c>
      <c r="E19" s="652" t="s">
        <v>3419</v>
      </c>
      <c r="F19" s="652"/>
      <c r="G19" s="345" t="s">
        <v>3460</v>
      </c>
      <c r="H19" s="111"/>
      <c r="I19" s="125"/>
      <c r="J19" s="616"/>
      <c r="K19" s="617"/>
      <c r="L19" s="618"/>
    </row>
    <row r="20" spans="1:12" ht="14.4" customHeight="1" thickBot="1">
      <c r="A20" s="340" t="s">
        <v>3378</v>
      </c>
      <c r="B20" s="127"/>
      <c r="C20" s="289" t="s">
        <v>3415</v>
      </c>
      <c r="D20" s="289" t="s">
        <v>124</v>
      </c>
      <c r="E20" s="397" t="s">
        <v>3940</v>
      </c>
      <c r="F20" s="289" t="s">
        <v>3583</v>
      </c>
      <c r="G20" s="397" t="s">
        <v>3418</v>
      </c>
      <c r="H20" s="117" t="s">
        <v>80</v>
      </c>
      <c r="I20" s="125"/>
      <c r="J20" s="616"/>
      <c r="K20" s="617"/>
      <c r="L20" s="618"/>
    </row>
    <row r="21" spans="1:12">
      <c r="A21" s="339" t="s">
        <v>3430</v>
      </c>
      <c r="B21" s="127"/>
      <c r="C21" s="489"/>
      <c r="D21" s="164"/>
      <c r="E21" s="165"/>
      <c r="F21" s="352"/>
      <c r="G21" s="164"/>
      <c r="H21" s="132">
        <f>IFERROR(IF(ISBLANK(D21),IF(ISBLANK(G21),F21*VLOOKUP(E21,'BDD FE'!$B$444:$C$453,2,FALSE)*10^-3,G21*10^-3*'BDD FE'!$C$440*10^-3),D21*'BDD FE'!$C$438*10^-3),0)</f>
        <v>0</v>
      </c>
      <c r="I21" s="236"/>
      <c r="J21" s="324"/>
      <c r="K21" s="325"/>
      <c r="L21" s="166"/>
    </row>
    <row r="22" spans="1:12">
      <c r="A22" s="340" t="s">
        <v>3433</v>
      </c>
      <c r="B22" s="127"/>
      <c r="C22" s="489"/>
      <c r="D22" s="164"/>
      <c r="E22" s="165"/>
      <c r="F22" s="352"/>
      <c r="G22" s="164"/>
      <c r="H22" s="132">
        <f>IFERROR(IF(ISBLANK(D22),IF(ISBLANK(G22),F22*VLOOKUP(E22,'BDD FE'!$B$444:$C$453,2,FALSE)*10^-3,G22*10^-3*'BDD FE'!$C$440*10^-3),D22*'BDD FE'!$C$438*10^-3),0)</f>
        <v>0</v>
      </c>
      <c r="I22" s="125"/>
      <c r="J22" s="145"/>
      <c r="L22" s="149"/>
    </row>
    <row r="23" spans="1:12">
      <c r="A23" s="340" t="s">
        <v>3428</v>
      </c>
      <c r="B23" s="127"/>
      <c r="C23" s="164"/>
      <c r="D23" s="164"/>
      <c r="E23" s="165"/>
      <c r="F23" s="352"/>
      <c r="G23" s="164"/>
      <c r="H23" s="132">
        <f>IFERROR(IF(ISBLANK(D23),IF(ISBLANK(G23),F23*VLOOKUP(E23,'BDD FE'!$B$444:$C$453,2,FALSE)*10^-3,G23*10^-3*'BDD FE'!$C$440*10^-3),D23*'BDD FE'!$C$438*10^-3),0)</f>
        <v>0</v>
      </c>
      <c r="I23" s="125"/>
      <c r="J23" s="145"/>
      <c r="L23" s="149"/>
    </row>
    <row r="24" spans="1:12">
      <c r="A24" s="340" t="s">
        <v>11</v>
      </c>
      <c r="B24" s="127"/>
      <c r="C24" s="164"/>
      <c r="D24" s="164"/>
      <c r="E24" s="165"/>
      <c r="F24" s="352"/>
      <c r="G24" s="164"/>
      <c r="H24" s="132">
        <f>IFERROR(IF(ISBLANK(D24),IF(ISBLANK(G24),F24*VLOOKUP(E24,'BDD FE'!$B$444:$C$453,2,FALSE)*10^-3,G24*10^-3*'BDD FE'!$C$440*10^-3),D24*'BDD FE'!$C$438*10^-3),0)</f>
        <v>0</v>
      </c>
      <c r="I24" s="125"/>
      <c r="J24" s="145"/>
      <c r="L24" s="149"/>
    </row>
    <row r="25" spans="1:12" ht="15" thickBot="1">
      <c r="A25" s="340" t="s">
        <v>13</v>
      </c>
      <c r="B25" s="127"/>
      <c r="C25" s="164"/>
      <c r="D25" s="164"/>
      <c r="E25" s="165"/>
      <c r="F25" s="352"/>
      <c r="G25" s="164"/>
      <c r="H25" s="132">
        <f>IFERROR(IF(ISBLANK(D25),IF(ISBLANK(G25),F25*VLOOKUP(E25,'BDD FE'!$B$444:$C$453,2,FALSE)*10^-3,G25*10^-3*'BDD FE'!$C$440*10^-3),D25*'BDD FE'!$C$438*10^-3),0)</f>
        <v>0</v>
      </c>
      <c r="I25" s="125"/>
      <c r="J25" s="150"/>
      <c r="K25" s="151"/>
      <c r="L25" s="152"/>
    </row>
    <row r="26" spans="1:12">
      <c r="B26" s="127"/>
      <c r="C26" s="164"/>
      <c r="D26" s="164"/>
      <c r="E26" s="165"/>
      <c r="F26" s="352"/>
      <c r="G26" s="164"/>
      <c r="H26" s="132">
        <f>IFERROR(IF(ISBLANK(D26),IF(ISBLANK(G26),F26*VLOOKUP(E26,'BDD FE'!$B$444:$C$453,2,FALSE)*10^-3,G26*10^-3*'BDD FE'!$C$440*10^-3),D26*'BDD FE'!$C$438*10^-3),0)</f>
        <v>0</v>
      </c>
      <c r="I26" s="125"/>
      <c r="J26" s="111"/>
    </row>
    <row r="27" spans="1:12">
      <c r="B27" s="127"/>
      <c r="C27" s="164"/>
      <c r="D27" s="164"/>
      <c r="E27" s="165"/>
      <c r="F27" s="352"/>
      <c r="G27" s="164"/>
      <c r="H27" s="132">
        <f>IFERROR(IF(ISBLANK(D27),IF(ISBLANK(G27),F27*VLOOKUP(E27,'BDD FE'!$B$444:$C$453,2,FALSE)*10^-3,G27*10^-3*'BDD FE'!$C$440*10^-3),D27*'BDD FE'!$C$438*10^-3),0)</f>
        <v>0</v>
      </c>
      <c r="I27" s="125"/>
      <c r="J27" s="111"/>
    </row>
    <row r="28" spans="1:12">
      <c r="B28" s="127"/>
      <c r="C28" s="164"/>
      <c r="D28" s="164"/>
      <c r="E28" s="165"/>
      <c r="F28" s="352"/>
      <c r="G28" s="164"/>
      <c r="H28" s="132">
        <f>IFERROR(IF(ISBLANK(D28),IF(ISBLANK(G28),F28*VLOOKUP(E28,'BDD FE'!$B$444:$C$453,2,FALSE)*10^-3,G28*10^-3*'BDD FE'!$C$440*10^-3),D28*'BDD FE'!$C$438*10^-3),0)</f>
        <v>0</v>
      </c>
      <c r="I28" s="125"/>
      <c r="J28" s="111"/>
    </row>
    <row r="29" spans="1:12" ht="19.25" customHeight="1">
      <c r="B29" s="127"/>
      <c r="C29" s="164"/>
      <c r="D29" s="164"/>
      <c r="E29" s="165"/>
      <c r="F29" s="352"/>
      <c r="G29" s="164"/>
      <c r="H29" s="132">
        <f>IFERROR(IF(ISBLANK(D29),IF(ISBLANK(G29),F29*VLOOKUP(E29,'BDD FE'!$B$444:$C$453,2,FALSE)*10^-3,G29*10^-3*'BDD FE'!$C$440*10^-3),D29*'BDD FE'!$C$438*10^-3),0)</f>
        <v>0</v>
      </c>
      <c r="I29" s="125"/>
      <c r="J29" s="111"/>
    </row>
    <row r="30" spans="1:12" ht="19.25" customHeight="1">
      <c r="B30" s="127"/>
      <c r="C30" s="164"/>
      <c r="D30" s="164"/>
      <c r="E30" s="165"/>
      <c r="F30" s="352"/>
      <c r="G30" s="164"/>
      <c r="H30" s="132">
        <f>IFERROR(IF(ISBLANK(D30),IF(ISBLANK(G30),F30*VLOOKUP(E30,'BDD FE'!$B$444:$C$453,2,FALSE)*10^-3,G30*10^-3*'BDD FE'!$C$440*10^-3),D30*'BDD FE'!$C$438*10^-3),0)</f>
        <v>0</v>
      </c>
      <c r="I30" s="125"/>
      <c r="J30" s="111"/>
    </row>
    <row r="31" spans="1:12">
      <c r="B31" s="127"/>
      <c r="C31" s="164"/>
      <c r="D31" s="164"/>
      <c r="E31" s="165"/>
      <c r="F31" s="352"/>
      <c r="G31" s="164"/>
      <c r="H31" s="132">
        <f>IFERROR(IF(ISBLANK(D31),IF(ISBLANK(G31),F31*VLOOKUP(E31,'BDD FE'!$B$444:$C$453,2,FALSE)*10^-3,G31*10^-3*'BDD FE'!$C$440*10^-3),D31*'BDD FE'!$C$438*10^-3),0)</f>
        <v>0</v>
      </c>
      <c r="I31" s="125"/>
      <c r="J31" s="111"/>
    </row>
    <row r="32" spans="1:12">
      <c r="B32" s="127"/>
      <c r="C32" s="164"/>
      <c r="D32" s="164"/>
      <c r="E32" s="165"/>
      <c r="F32" s="352"/>
      <c r="G32" s="164"/>
      <c r="H32" s="132">
        <f>IFERROR(IF(ISBLANK(D32),IF(ISBLANK(G32),F32*VLOOKUP(E32,'BDD FE'!$B$444:$C$453,2,FALSE)*10^-3,G32*10^-3*'BDD FE'!$C$440*10^-3),D32*'BDD FE'!$C$438*10^-3),0)</f>
        <v>0</v>
      </c>
      <c r="I32" s="125"/>
      <c r="J32" s="111"/>
    </row>
    <row r="33" spans="2:10">
      <c r="B33" s="127"/>
      <c r="C33" s="164"/>
      <c r="D33" s="164"/>
      <c r="E33" s="165"/>
      <c r="F33" s="352"/>
      <c r="G33" s="164"/>
      <c r="H33" s="132">
        <f>IFERROR(IF(ISBLANK(D33),IF(ISBLANK(G33),F33*VLOOKUP(E33,'BDD FE'!$B$444:$C$453,2,FALSE)*10^-3,G33*10^-3*'BDD FE'!$C$440*10^-3),D33*'BDD FE'!$C$438*10^-3),0)</f>
        <v>0</v>
      </c>
      <c r="I33" s="125"/>
      <c r="J33" s="111"/>
    </row>
    <row r="34" spans="2:10">
      <c r="B34" s="127"/>
      <c r="C34" s="164"/>
      <c r="D34" s="164"/>
      <c r="E34" s="165"/>
      <c r="F34" s="352"/>
      <c r="G34" s="164"/>
      <c r="H34" s="132">
        <f>IFERROR(IF(ISBLANK(D34),IF(ISBLANK(G34),F34*VLOOKUP(E34,'BDD FE'!$B$444:$C$453,2,FALSE)*10^-3,G34*10^-3*'BDD FE'!$C$440*10^-3),D34*'BDD FE'!$C$438*10^-3),0)</f>
        <v>0</v>
      </c>
      <c r="I34" s="125"/>
      <c r="J34" s="111"/>
    </row>
    <row r="35" spans="2:10">
      <c r="B35" s="127"/>
      <c r="H35" s="139">
        <f>SUM(H21:H34)</f>
        <v>0</v>
      </c>
      <c r="I35" s="125"/>
      <c r="J35" s="111"/>
    </row>
    <row r="36" spans="2:10">
      <c r="B36" s="127"/>
      <c r="I36" s="125"/>
      <c r="J36" s="111"/>
    </row>
    <row r="37" spans="2:10">
      <c r="B37" s="127"/>
      <c r="I37" s="125"/>
      <c r="J37" s="111"/>
    </row>
    <row r="38" spans="2:10">
      <c r="B38" s="127"/>
      <c r="C38" s="642" t="s">
        <v>3412</v>
      </c>
      <c r="D38" s="643"/>
      <c r="E38" s="643"/>
      <c r="F38" s="643"/>
      <c r="G38" s="643"/>
      <c r="H38" s="643"/>
      <c r="I38" s="125"/>
      <c r="J38" s="111"/>
    </row>
    <row r="39" spans="2:10" ht="14.4" customHeight="1">
      <c r="B39" s="127"/>
      <c r="C39" s="677" t="s">
        <v>4043</v>
      </c>
      <c r="D39" s="629"/>
      <c r="E39" s="629"/>
      <c r="F39" s="629"/>
      <c r="G39" s="629"/>
      <c r="H39" s="629"/>
      <c r="I39" s="125"/>
      <c r="J39" s="111"/>
    </row>
    <row r="40" spans="2:10">
      <c r="B40" s="127"/>
      <c r="C40" s="629"/>
      <c r="D40" s="629"/>
      <c r="E40" s="629"/>
      <c r="F40" s="629"/>
      <c r="G40" s="629"/>
      <c r="H40" s="629"/>
      <c r="I40" s="125"/>
      <c r="J40" s="111"/>
    </row>
    <row r="41" spans="2:10">
      <c r="B41" s="127"/>
      <c r="C41" s="629"/>
      <c r="D41" s="629"/>
      <c r="E41" s="629"/>
      <c r="F41" s="629"/>
      <c r="G41" s="629"/>
      <c r="H41" s="629"/>
      <c r="I41" s="125"/>
      <c r="J41" s="111"/>
    </row>
    <row r="42" spans="2:10">
      <c r="B42" s="127"/>
      <c r="C42" s="629"/>
      <c r="D42" s="629"/>
      <c r="E42" s="629"/>
      <c r="F42" s="629"/>
      <c r="G42" s="629"/>
      <c r="H42" s="629"/>
      <c r="I42" s="125"/>
      <c r="J42" s="111"/>
    </row>
    <row r="43" spans="2:10">
      <c r="B43" s="127"/>
      <c r="C43" s="629"/>
      <c r="D43" s="629"/>
      <c r="E43" s="629"/>
      <c r="F43" s="629"/>
      <c r="G43" s="629"/>
      <c r="H43" s="629"/>
      <c r="I43" s="125"/>
      <c r="J43" s="111"/>
    </row>
    <row r="44" spans="2:10">
      <c r="B44" s="127"/>
      <c r="C44" s="629"/>
      <c r="D44" s="629"/>
      <c r="E44" s="629"/>
      <c r="F44" s="629"/>
      <c r="G44" s="629"/>
      <c r="H44" s="629"/>
      <c r="I44" s="125"/>
      <c r="J44" s="111"/>
    </row>
    <row r="45" spans="2:10">
      <c r="B45" s="127"/>
      <c r="C45" s="629"/>
      <c r="D45" s="629"/>
      <c r="E45" s="629"/>
      <c r="F45" s="629"/>
      <c r="G45" s="629"/>
      <c r="H45" s="629"/>
      <c r="I45" s="125"/>
      <c r="J45" s="111"/>
    </row>
    <row r="46" spans="2:10">
      <c r="B46" s="127"/>
      <c r="C46" s="629"/>
      <c r="D46" s="629"/>
      <c r="E46" s="629"/>
      <c r="F46" s="629"/>
      <c r="G46" s="629"/>
      <c r="H46" s="629"/>
      <c r="I46" s="125"/>
      <c r="J46" s="111"/>
    </row>
    <row r="47" spans="2:10">
      <c r="B47" s="127"/>
      <c r="I47" s="125"/>
      <c r="J47" s="111"/>
    </row>
    <row r="48" spans="2:10">
      <c r="B48" s="127"/>
      <c r="C48" s="111"/>
      <c r="D48" s="345" t="s">
        <v>3420</v>
      </c>
      <c r="E48" s="652" t="s">
        <v>3419</v>
      </c>
      <c r="F48" s="652"/>
      <c r="G48" s="345" t="s">
        <v>3460</v>
      </c>
      <c r="I48" s="125"/>
      <c r="J48" s="111"/>
    </row>
    <row r="49" spans="2:10" ht="25">
      <c r="B49" s="127"/>
      <c r="C49" s="289" t="s">
        <v>3415</v>
      </c>
      <c r="D49" s="289" t="s">
        <v>124</v>
      </c>
      <c r="E49" s="289" t="s">
        <v>3582</v>
      </c>
      <c r="F49" s="289" t="s">
        <v>3537</v>
      </c>
      <c r="G49" s="289" t="s">
        <v>3418</v>
      </c>
      <c r="H49" s="117" t="s">
        <v>80</v>
      </c>
      <c r="I49" s="125"/>
      <c r="J49" s="111"/>
    </row>
    <row r="50" spans="2:10">
      <c r="B50" s="127"/>
      <c r="C50" s="489"/>
      <c r="D50" s="164"/>
      <c r="E50" s="164"/>
      <c r="F50" s="352">
        <v>5</v>
      </c>
      <c r="G50" s="164"/>
      <c r="H50" s="132">
        <f>IFERROR(IF(ISBLANK(D50),IF(AND(OR(F50&gt;5,F50&lt;5),ISBLANK(G50)),(E50*(F50*10^-3))*'BDD FE'!$C$441,IF(AND(F50=5,ISBLANK(G50)),E50*'BDD FE'!$C$442,IF(ISBLANK(E50),(G50*10^-3)*'BDD FE'!$C$443,0))),D50*'BDD FE'!$C$441),"erreur")*10^-3</f>
        <v>0</v>
      </c>
      <c r="I50" s="236"/>
      <c r="J50" s="111"/>
    </row>
    <row r="51" spans="2:10">
      <c r="B51" s="127"/>
      <c r="C51" s="164"/>
      <c r="D51" s="164"/>
      <c r="E51" s="164"/>
      <c r="F51" s="352">
        <v>5</v>
      </c>
      <c r="G51" s="164"/>
      <c r="H51" s="132">
        <f>IFERROR(IF(ISBLANK(D51),IF(AND(OR(F51&gt;300,F51&lt;300),ISBLANK(G51)),(E51*(F51*10^-3))*'BDD FE'!$C$441,IF(AND(F51=300,ISBLANK(G51)),E51*'BDD FE'!$C$442,IF(ISBLANK(E51),(G51*10^-3)*'BDD FE'!$C$443,0))),D51*'BDD FE'!$C$441),"erreur")*10^-3</f>
        <v>0</v>
      </c>
      <c r="I51" s="125"/>
    </row>
    <row r="52" spans="2:10">
      <c r="B52" s="127"/>
      <c r="C52" s="164"/>
      <c r="D52" s="164"/>
      <c r="E52" s="164"/>
      <c r="F52" s="352">
        <v>5</v>
      </c>
      <c r="G52" s="164"/>
      <c r="H52" s="132">
        <f>IFERROR(IF(ISBLANK(D52),IF(AND(OR(F52&gt;300,F52&lt;300),ISBLANK(G52)),(E52*(F52*10^-3))*'BDD FE'!$C$441,IF(AND(F52=300,ISBLANK(G52)),E52*'BDD FE'!$C$442,IF(ISBLANK(E52),(G52*10^-3)*'BDD FE'!$C$443,0))),D52*'BDD FE'!$C$441),"erreur")*10^-3</f>
        <v>0</v>
      </c>
      <c r="I52" s="125"/>
    </row>
    <row r="53" spans="2:10">
      <c r="B53" s="127"/>
      <c r="C53" s="164"/>
      <c r="D53" s="164"/>
      <c r="E53" s="164"/>
      <c r="F53" s="352">
        <v>5</v>
      </c>
      <c r="G53" s="164"/>
      <c r="H53" s="132">
        <f>IFERROR(IF(ISBLANK(D53),IF(AND(OR(F53&gt;300,F53&lt;300),ISBLANK(G53)),(E53*(F53*10^-3))*'BDD FE'!$C$441,IF(AND(F53=300,ISBLANK(G53)),E53*'BDD FE'!$C$442,IF(ISBLANK(E53),(G53*10^-3)*'BDD FE'!$C$443,0))),D53*'BDD FE'!$C$441),"erreur")*10^-3</f>
        <v>0</v>
      </c>
      <c r="I53" s="125"/>
    </row>
    <row r="54" spans="2:10">
      <c r="B54" s="127"/>
      <c r="C54" s="164"/>
      <c r="D54" s="164"/>
      <c r="E54" s="164"/>
      <c r="F54" s="352">
        <v>5</v>
      </c>
      <c r="G54" s="164"/>
      <c r="H54" s="132">
        <f>IFERROR(IF(ISBLANK(D54),IF(AND(OR(F54&gt;300,F54&lt;300),ISBLANK(G54)),(E54*(F54*10^-3))*'BDD FE'!$C$441,IF(AND(F54=300,ISBLANK(G54)),E54*'BDD FE'!$C$442,IF(ISBLANK(E54),(G54*10^-3)*'BDD FE'!$C$443,0))),D54*'BDD FE'!$C$441),"erreur")*10^-3</f>
        <v>0</v>
      </c>
      <c r="I54" s="125"/>
    </row>
    <row r="55" spans="2:10">
      <c r="B55" s="127"/>
      <c r="C55" s="164"/>
      <c r="D55" s="164"/>
      <c r="E55" s="164"/>
      <c r="F55" s="352">
        <v>5</v>
      </c>
      <c r="G55" s="164"/>
      <c r="H55" s="132">
        <f>IFERROR(IF(ISBLANK(D55),IF(AND(OR(F55&gt;300,F55&lt;300),ISBLANK(G55)),(E55*(F55*10^-3))*'BDD FE'!$C$441,IF(AND(F55=300,ISBLANK(G55)),E55*'BDD FE'!$C$442,IF(ISBLANK(E55),(G55*10^-3)*'BDD FE'!$C$443,0))),D55*'BDD FE'!$C$441),"erreur")*10^-3</f>
        <v>0</v>
      </c>
      <c r="I55" s="125"/>
    </row>
    <row r="56" spans="2:10">
      <c r="B56" s="127"/>
      <c r="C56" s="164"/>
      <c r="D56" s="164"/>
      <c r="E56" s="164"/>
      <c r="F56" s="352">
        <v>5</v>
      </c>
      <c r="G56" s="164"/>
      <c r="H56" s="132">
        <f>IFERROR(IF(ISBLANK(D56),IF(AND(OR(F56&gt;300,F56&lt;300),ISBLANK(G56)),(E56*(F56*10^-3))*'BDD FE'!$C$441,IF(AND(F56=300,ISBLANK(G56)),E56*'BDD FE'!$C$442,IF(ISBLANK(E56),(G56*10^-3)*'BDD FE'!$C$443,0))),D56*'BDD FE'!$C$441),"erreur")*10^-3</f>
        <v>0</v>
      </c>
      <c r="I56" s="125"/>
    </row>
    <row r="57" spans="2:10">
      <c r="B57" s="127"/>
      <c r="C57" s="164"/>
      <c r="D57" s="164"/>
      <c r="E57" s="164"/>
      <c r="F57" s="352">
        <v>5</v>
      </c>
      <c r="G57" s="164"/>
      <c r="H57" s="132">
        <f>IFERROR(IF(ISBLANK(D57),IF(AND(OR(F57&gt;300,F57&lt;300),ISBLANK(G57)),(E57*(F57*10^-3))*'BDD FE'!$C$441,IF(AND(F57=300,ISBLANK(G57)),E57*'BDD FE'!$C$442,IF(ISBLANK(E57),(G57*10^-3)*'BDD FE'!$C$443,0))),D57*'BDD FE'!$C$441),"erreur")*10^-3</f>
        <v>0</v>
      </c>
      <c r="I57" s="125"/>
    </row>
    <row r="58" spans="2:10">
      <c r="B58" s="127"/>
      <c r="C58" s="164"/>
      <c r="D58" s="164"/>
      <c r="E58" s="164"/>
      <c r="F58" s="352">
        <v>5</v>
      </c>
      <c r="G58" s="164"/>
      <c r="H58" s="132">
        <f>IFERROR(IF(ISBLANK(D58),IF(AND(OR(F58&gt;300,F58&lt;300),ISBLANK(G58)),(E58*(F58*10^-3))*'BDD FE'!$C$441,IF(AND(F58=300,ISBLANK(G58)),E58*'BDD FE'!$C$442,IF(ISBLANK(E58),(G58*10^-3)*'BDD FE'!$C$443,0))),D58*'BDD FE'!$C$441),"erreur")*10^-3</f>
        <v>0</v>
      </c>
      <c r="I58" s="125"/>
    </row>
    <row r="59" spans="2:10">
      <c r="B59" s="127"/>
      <c r="C59" s="164"/>
      <c r="D59" s="164"/>
      <c r="E59" s="164"/>
      <c r="F59" s="352">
        <v>5</v>
      </c>
      <c r="G59" s="164"/>
      <c r="H59" s="132">
        <f>IFERROR(IF(ISBLANK(D59),IF(AND(OR(F59&gt;300,F59&lt;300),ISBLANK(G59)),(E59*(F59*10^-3))*'BDD FE'!$C$441,IF(AND(F59=300,ISBLANK(G59)),E59*'BDD FE'!$C$442,IF(ISBLANK(E59),(G59*10^-3)*'BDD FE'!$C$443,0))),D59*'BDD FE'!$C$441),"erreur")*10^-3</f>
        <v>0</v>
      </c>
      <c r="I59" s="125"/>
    </row>
    <row r="60" spans="2:10">
      <c r="B60" s="127"/>
      <c r="C60" s="164"/>
      <c r="D60" s="164"/>
      <c r="E60" s="164"/>
      <c r="F60" s="352">
        <v>5</v>
      </c>
      <c r="G60" s="164"/>
      <c r="H60" s="132">
        <f>IFERROR(IF(ISBLANK(D60),IF(AND(OR(F60&gt;300,F60&lt;300),ISBLANK(G60)),(E60*(F60*10^-3))*'BDD FE'!$C$441,IF(AND(F60=300,ISBLANK(G60)),E60*'BDD FE'!$C$442,IF(ISBLANK(E60),(G60*10^-3)*'BDD FE'!$C$443,0))),D60*'BDD FE'!$C$441),"erreur")*10^-3</f>
        <v>0</v>
      </c>
      <c r="I60" s="125"/>
    </row>
    <row r="61" spans="2:10">
      <c r="B61" s="127"/>
      <c r="C61" s="164"/>
      <c r="D61" s="164"/>
      <c r="E61" s="164"/>
      <c r="F61" s="352">
        <v>5</v>
      </c>
      <c r="G61" s="164"/>
      <c r="H61" s="132">
        <f>IFERROR(IF(ISBLANK(D61),IF(AND(OR(F61&gt;300,F61&lt;300),ISBLANK(G61)),(E61*(F61*10^-3))*'BDD FE'!$C$441,IF(AND(F61=300,ISBLANK(G61)),E61*'BDD FE'!$C$442,IF(ISBLANK(E61),(G61*10^-3)*'BDD FE'!$C$443,0))),D61*'BDD FE'!$C$441),"erreur")*10^-3</f>
        <v>0</v>
      </c>
      <c r="I61" s="125"/>
    </row>
    <row r="62" spans="2:10">
      <c r="B62" s="127"/>
      <c r="C62" s="164"/>
      <c r="D62" s="164"/>
      <c r="E62" s="164"/>
      <c r="F62" s="352">
        <v>5</v>
      </c>
      <c r="G62" s="164"/>
      <c r="H62" s="132">
        <f>IFERROR(IF(ISBLANK(D62),IF(AND(OR(F62&gt;300,F62&lt;300),ISBLANK(G62)),(E62*(F62*10^-3))*'BDD FE'!$C$441,IF(AND(F62=300,ISBLANK(G62)),E62*'BDD FE'!$C$442,IF(ISBLANK(E62),(G62*10^-3)*'BDD FE'!$C$443,0))),D62*'BDD FE'!$C$441),"erreur")*10^-3</f>
        <v>0</v>
      </c>
      <c r="I62" s="125"/>
    </row>
    <row r="63" spans="2:10">
      <c r="B63" s="127"/>
      <c r="C63" s="164"/>
      <c r="D63" s="164"/>
      <c r="E63" s="164"/>
      <c r="F63" s="352">
        <v>5</v>
      </c>
      <c r="G63" s="164"/>
      <c r="H63" s="132">
        <f>IFERROR(IF(ISBLANK(D63),IF(AND(OR(F63&gt;300,F63&lt;300),ISBLANK(G63)),(E63*(F63*10^-3))*'BDD FE'!$C$441,IF(AND(F63=300,ISBLANK(G63)),E63*'BDD FE'!$C$442,IF(ISBLANK(E63),(G63*10^-3)*'BDD FE'!$C$443,0))),D63*'BDD FE'!$C$441),"erreur")*10^-3</f>
        <v>0</v>
      </c>
      <c r="I63" s="125"/>
    </row>
    <row r="64" spans="2:10">
      <c r="B64" s="127"/>
      <c r="H64" s="139">
        <f>SUM(H50:H63)</f>
        <v>0</v>
      </c>
      <c r="I64" s="125"/>
    </row>
    <row r="65" spans="2:9" customFormat="1">
      <c r="B65" s="127"/>
      <c r="C65" s="112"/>
      <c r="D65" s="112"/>
      <c r="E65" s="112"/>
      <c r="F65" s="112"/>
      <c r="G65" s="112"/>
      <c r="H65" s="414"/>
      <c r="I65" s="125"/>
    </row>
    <row r="66" spans="2:9" customFormat="1">
      <c r="B66" s="127"/>
      <c r="C66" s="112"/>
      <c r="D66" s="112"/>
      <c r="E66" s="112"/>
      <c r="F66" s="112"/>
      <c r="G66" s="112"/>
      <c r="H66" s="414"/>
      <c r="I66" s="125"/>
    </row>
    <row r="67" spans="2:9" customFormat="1">
      <c r="B67" s="127"/>
      <c r="C67" s="112"/>
      <c r="D67" s="112"/>
      <c r="E67" s="112"/>
      <c r="F67" s="112"/>
      <c r="G67" s="112"/>
      <c r="H67" s="414"/>
      <c r="I67" s="125"/>
    </row>
    <row r="68" spans="2:9" customFormat="1">
      <c r="B68" s="127"/>
      <c r="C68" s="112"/>
      <c r="D68" s="112"/>
      <c r="E68" s="112"/>
      <c r="F68" s="112"/>
      <c r="G68" s="112"/>
      <c r="H68" s="414"/>
      <c r="I68" s="125"/>
    </row>
    <row r="69" spans="2:9" customFormat="1">
      <c r="B69" s="127"/>
      <c r="C69" s="642" t="s">
        <v>3917</v>
      </c>
      <c r="D69" s="643"/>
      <c r="E69" s="643"/>
      <c r="F69" s="643"/>
      <c r="G69" s="643"/>
      <c r="H69" s="643"/>
      <c r="I69" s="125"/>
    </row>
    <row r="70" spans="2:9" customFormat="1">
      <c r="B70" s="127"/>
      <c r="C70" s="664" t="s">
        <v>3764</v>
      </c>
      <c r="D70" s="702"/>
      <c r="E70" s="702"/>
      <c r="F70" s="702"/>
      <c r="G70" s="702"/>
      <c r="H70" s="702"/>
      <c r="I70" s="125"/>
    </row>
    <row r="71" spans="2:9" customFormat="1">
      <c r="B71" s="127"/>
      <c r="C71" s="702"/>
      <c r="D71" s="702"/>
      <c r="E71" s="702"/>
      <c r="F71" s="702"/>
      <c r="G71" s="702"/>
      <c r="H71" s="702"/>
      <c r="I71" s="125"/>
    </row>
    <row r="72" spans="2:9" customFormat="1">
      <c r="B72" s="127"/>
      <c r="C72" s="702"/>
      <c r="D72" s="702"/>
      <c r="E72" s="702"/>
      <c r="F72" s="702"/>
      <c r="G72" s="702"/>
      <c r="H72" s="702"/>
      <c r="I72" s="125"/>
    </row>
    <row r="73" spans="2:9" customFormat="1">
      <c r="B73" s="127"/>
      <c r="C73" s="466" t="s">
        <v>3895</v>
      </c>
      <c r="D73" s="112"/>
      <c r="E73" s="112"/>
      <c r="F73" s="112"/>
      <c r="G73" s="112"/>
      <c r="H73" s="112"/>
      <c r="I73" s="125"/>
    </row>
    <row r="74" spans="2:9" customFormat="1">
      <c r="B74" s="127"/>
      <c r="C74" s="111"/>
      <c r="D74" s="345" t="s">
        <v>3420</v>
      </c>
      <c r="E74" s="652" t="s">
        <v>3419</v>
      </c>
      <c r="F74" s="652"/>
      <c r="G74" s="345" t="s">
        <v>3460</v>
      </c>
      <c r="H74" s="111"/>
      <c r="I74" s="125"/>
    </row>
    <row r="75" spans="2:9" customFormat="1" ht="25">
      <c r="B75" s="127"/>
      <c r="C75" s="397" t="s">
        <v>3762</v>
      </c>
      <c r="D75" s="289" t="s">
        <v>124</v>
      </c>
      <c r="E75" s="397" t="s">
        <v>3892</v>
      </c>
      <c r="F75" s="289" t="s">
        <v>3537</v>
      </c>
      <c r="G75" s="289" t="s">
        <v>3418</v>
      </c>
      <c r="H75" s="117" t="s">
        <v>80</v>
      </c>
      <c r="I75" s="125"/>
    </row>
    <row r="76" spans="2:9" customFormat="1">
      <c r="B76" s="127"/>
      <c r="C76" s="165"/>
      <c r="D76" s="164"/>
      <c r="E76" s="164"/>
      <c r="F76" s="352">
        <v>20</v>
      </c>
      <c r="G76" s="164"/>
      <c r="H76" s="132">
        <f>IFERROR(IF(ISBLANK(D76),IF(AND(ISBLANK(G76)),(E76*(F76*10^-3))*VLOOKUP(C76,'BDD FE'!$B$700:$C$702,2,FALSE),IF(ISBLANK(E76),(G76*10^-3)*'BDD FE'!$C$703,0)),D76*VLOOKUP(C76,'BDD FE'!$B$700:$C$702,2,FALSE)),0)*10^-3</f>
        <v>0</v>
      </c>
      <c r="I76" s="125"/>
    </row>
    <row r="77" spans="2:9">
      <c r="B77" s="127"/>
      <c r="C77" s="165"/>
      <c r="D77" s="164"/>
      <c r="E77" s="164"/>
      <c r="F77" s="352">
        <v>20</v>
      </c>
      <c r="G77" s="164"/>
      <c r="H77" s="132">
        <f>IFERROR(IF(ISBLANK(D77),IF(AND(ISBLANK(G77)),(E77*(F77*10^-3))*VLOOKUP(C77,'BDD FE'!$B$700:$C$702,2,FALSE),IF(ISBLANK(E77),(G77*10^-3)*'BDD FE'!$C$703,0)),D77*VLOOKUP(C77,'BDD FE'!$B$700:$C$702,2,FALSE)),0)*10^-3</f>
        <v>0</v>
      </c>
      <c r="I77" s="125"/>
    </row>
    <row r="78" spans="2:9">
      <c r="B78" s="127"/>
      <c r="C78" s="165"/>
      <c r="D78" s="164"/>
      <c r="E78" s="164"/>
      <c r="F78" s="352">
        <v>20</v>
      </c>
      <c r="G78" s="164"/>
      <c r="H78" s="132">
        <f>IFERROR(IF(ISBLANK(D78),IF(AND(ISBLANK(G78)),(E78*(F78*10^-3))*VLOOKUP(C78,'BDD FE'!$B$700:$C$702,2,FALSE),IF(ISBLANK(E78),(G78*10^-3)*'BDD FE'!$C$703,0)),D78*VLOOKUP(C78,'BDD FE'!$B$700:$C$702,2,FALSE)),0)*10^-3</f>
        <v>0</v>
      </c>
      <c r="I78" s="125"/>
    </row>
    <row r="79" spans="2:9">
      <c r="B79" s="127"/>
      <c r="C79" s="165"/>
      <c r="D79" s="164"/>
      <c r="E79" s="164"/>
      <c r="F79" s="352">
        <v>20</v>
      </c>
      <c r="G79" s="164"/>
      <c r="H79" s="132">
        <f>IFERROR(IF(ISBLANK(D79),IF(AND(ISBLANK(G79)),(E79*(F79*10^-3))*VLOOKUP(C79,'BDD FE'!$B$700:$C$702,2,FALSE),IF(ISBLANK(E79),(G79*10^-3)*'BDD FE'!$C$703,0)),D79*VLOOKUP(C79,'BDD FE'!$B$700:$C$702,2,FALSE)),0)*10^-3</f>
        <v>0</v>
      </c>
      <c r="I79" s="125"/>
    </row>
    <row r="80" spans="2:9">
      <c r="B80" s="127"/>
      <c r="C80" s="165"/>
      <c r="D80" s="164"/>
      <c r="E80" s="164"/>
      <c r="F80" s="352">
        <v>20</v>
      </c>
      <c r="G80" s="164"/>
      <c r="H80" s="132">
        <f>IFERROR(IF(ISBLANK(D80),IF(AND(ISBLANK(G80)),(E80*(F80*10^-3))*VLOOKUP(C80,'BDD FE'!$B$700:$C$702,2,FALSE),IF(ISBLANK(E80),(G80*10^-3)*'BDD FE'!$C$703,0)),D80*VLOOKUP(C80,'BDD FE'!$B$700:$C$702,2,FALSE)),0)*10^-3</f>
        <v>0</v>
      </c>
      <c r="I80" s="125"/>
    </row>
    <row r="81" spans="2:9">
      <c r="B81" s="127"/>
      <c r="C81" s="394"/>
      <c r="D81" s="394"/>
      <c r="E81" s="394"/>
      <c r="F81" s="464"/>
      <c r="G81" s="394"/>
      <c r="H81" s="132">
        <f>SUM(H76:H80)</f>
        <v>0</v>
      </c>
      <c r="I81" s="125"/>
    </row>
    <row r="82" spans="2:9">
      <c r="B82" s="127"/>
      <c r="C82" s="394"/>
      <c r="D82" s="394"/>
      <c r="E82" s="394"/>
      <c r="F82" s="464"/>
      <c r="G82" s="394"/>
      <c r="H82" s="465"/>
      <c r="I82" s="125"/>
    </row>
    <row r="83" spans="2:9">
      <c r="B83" s="127"/>
      <c r="C83" s="466" t="s">
        <v>3896</v>
      </c>
      <c r="H83" s="414"/>
      <c r="I83" s="125"/>
    </row>
    <row r="84" spans="2:9" ht="25">
      <c r="B84" s="127"/>
      <c r="C84" s="456" t="s">
        <v>3897</v>
      </c>
      <c r="D84" s="397" t="s">
        <v>80</v>
      </c>
      <c r="H84" s="414"/>
      <c r="I84" s="125"/>
    </row>
    <row r="85" spans="2:9">
      <c r="B85" s="127"/>
      <c r="C85" s="164"/>
      <c r="D85" s="132">
        <f>IFERROR(C85*10^-3*'BDD FE'!$C$698*10^-3,0)</f>
        <v>0</v>
      </c>
      <c r="H85" s="414"/>
      <c r="I85" s="125"/>
    </row>
    <row r="86" spans="2:9">
      <c r="B86" s="127"/>
      <c r="C86" s="431"/>
      <c r="H86" s="414"/>
      <c r="I86" s="125"/>
    </row>
    <row r="87" spans="2:9" ht="14.4" customHeight="1">
      <c r="B87" s="127"/>
      <c r="H87" s="414"/>
      <c r="I87" s="125"/>
    </row>
    <row r="88" spans="2:9">
      <c r="B88" s="127"/>
      <c r="C88" s="466" t="s">
        <v>3898</v>
      </c>
      <c r="H88" s="414"/>
      <c r="I88" s="125"/>
    </row>
    <row r="89" spans="2:9" ht="25">
      <c r="B89" s="127"/>
      <c r="C89" s="456" t="s">
        <v>3899</v>
      </c>
      <c r="D89" s="117" t="s">
        <v>80</v>
      </c>
      <c r="H89" s="414"/>
      <c r="I89" s="125"/>
    </row>
    <row r="90" spans="2:9">
      <c r="B90" s="127"/>
      <c r="C90" s="164"/>
      <c r="D90" s="132">
        <f>IFERROR(C90*'BDD FE'!$C$705*10^-3,0)</f>
        <v>0</v>
      </c>
      <c r="H90" s="414"/>
      <c r="I90" s="125"/>
    </row>
    <row r="91" spans="2:9">
      <c r="B91" s="127"/>
      <c r="H91" s="414"/>
      <c r="I91" s="125"/>
    </row>
    <row r="92" spans="2:9">
      <c r="B92" s="127"/>
      <c r="H92" s="414"/>
      <c r="I92" s="125"/>
    </row>
    <row r="93" spans="2:9">
      <c r="B93" s="127"/>
      <c r="H93" s="414"/>
      <c r="I93" s="125"/>
    </row>
    <row r="94" spans="2:9">
      <c r="B94" s="127"/>
      <c r="H94" s="414"/>
      <c r="I94" s="125"/>
    </row>
    <row r="95" spans="2:9">
      <c r="B95" s="127"/>
      <c r="H95" s="414"/>
      <c r="I95" s="125"/>
    </row>
    <row r="96" spans="2:9">
      <c r="B96" s="127"/>
      <c r="H96" s="430"/>
      <c r="I96" s="125"/>
    </row>
    <row r="97" spans="2:9">
      <c r="B97" s="127"/>
      <c r="I97" s="125"/>
    </row>
    <row r="98" spans="2:9">
      <c r="B98" s="124"/>
      <c r="C98" s="111"/>
      <c r="D98" s="111"/>
      <c r="E98" s="111"/>
      <c r="F98" s="111"/>
      <c r="G98" s="111"/>
      <c r="H98" s="111"/>
      <c r="I98" s="125"/>
    </row>
    <row r="99" spans="2:9">
      <c r="B99" s="124"/>
      <c r="C99" s="111"/>
      <c r="D99" s="111"/>
      <c r="E99" s="111"/>
      <c r="F99" s="111"/>
      <c r="G99" s="111"/>
      <c r="H99" s="111"/>
      <c r="I99" s="125"/>
    </row>
    <row r="100" spans="2:9" ht="15" thickBot="1">
      <c r="B100" s="136"/>
      <c r="C100" s="137"/>
      <c r="D100" s="137"/>
      <c r="E100" s="137"/>
      <c r="F100" s="137"/>
      <c r="G100" s="137"/>
      <c r="H100" s="137"/>
      <c r="I100" s="138"/>
    </row>
  </sheetData>
  <protectedRanges>
    <protectedRange sqref="C50:F63 C76:F82 C21:F34" name="Plage1_1"/>
    <protectedRange sqref="G21:G34 G50:G63 G76:G82" name="Plage1_1_1"/>
    <protectedRange sqref="J3" name="Plage1_1_3"/>
    <protectedRange sqref="C85 C90" name="Plage1"/>
  </protectedRanges>
  <mergeCells count="17">
    <mergeCell ref="J1:L1"/>
    <mergeCell ref="J2:L2"/>
    <mergeCell ref="E19:F19"/>
    <mergeCell ref="J7:L7"/>
    <mergeCell ref="J14:L14"/>
    <mergeCell ref="J15:L20"/>
    <mergeCell ref="A1:A2"/>
    <mergeCell ref="C69:H69"/>
    <mergeCell ref="C70:H72"/>
    <mergeCell ref="E74:F74"/>
    <mergeCell ref="C3:H6"/>
    <mergeCell ref="C9:H16"/>
    <mergeCell ref="C39:H46"/>
    <mergeCell ref="E48:F48"/>
    <mergeCell ref="C8:H8"/>
    <mergeCell ref="C38:H38"/>
    <mergeCell ref="B1:I1"/>
  </mergeCells>
  <phoneticPr fontId="9" type="noConversion"/>
  <hyperlinks>
    <hyperlink ref="A6" location="'1_Votre Structure'!A1" display="Votre structure" xr:uid="{F3311126-BB7C-444C-B4D6-58D3B6AEE75C}"/>
    <hyperlink ref="A7" location="'2_ConsoEnergieEau'!A1" display="Consommation d'énergie et d'eau" xr:uid="{4D4CE661-285A-45FE-936F-B15047C582B2}"/>
    <hyperlink ref="A8" location="'3_Climatisation'!A1" display="Climatisation" xr:uid="{133BF04B-738F-41DD-8878-5CDE368EDC9D}"/>
    <hyperlink ref="A12" location="'7_DéplacementsProfessionnels'!A1" display="Déplacements professionnels" xr:uid="{38C09F08-7BD4-461F-9F16-8C3C1BC979B2}"/>
    <hyperlink ref="A13" location="'8_DéplacementsSalariés'!A1" display="Déplacements des salariés" xr:uid="{C927250D-E3B0-44FA-BAA4-7BB7D61D5ED9}"/>
    <hyperlink ref="A17" location="'12_Equipements'!A1" display="Equipements" xr:uid="{9CFF807A-305C-49A1-83A1-183D8E83FF39}"/>
    <hyperlink ref="A10" location="'5_Déchets'!A1" display="Déchets" xr:uid="{C40B2A02-6FD4-4AE9-8FE7-0A6F5B51459A}"/>
    <hyperlink ref="A22" location="'17_TransportMatériel'!A1" display="Transport de matériel et d'œuvres" xr:uid="{D06F98FF-1955-4549-8FFE-2B54C703E1FC}"/>
    <hyperlink ref="A23" location="'18_ImpressionsComPapier'!A1" display="Impression et communication papier" xr:uid="{3B0CC9DE-29B3-430C-9FC0-CDDFEEF3A3BE}"/>
    <hyperlink ref="A24" location="'19_ComDigitale'!A1" display="Communication digitale" xr:uid="{B9A92C90-29B6-46E7-AC84-F09B973ED075}"/>
    <hyperlink ref="A25" location="'20_Billetterie'!A1" display="Billetterie" xr:uid="{7A6D5291-7875-486F-B81F-024CE4924F68}"/>
    <hyperlink ref="A20" location="'15_Alimentation'!A1" display="Alimentation" xr:uid="{17B189AE-C46C-4562-A70F-517409A2C8E7}"/>
    <hyperlink ref="A14" location="'9_DéplacementsVisiteurs'!A1" display="Déplacements des visiteurs" xr:uid="{44527034-FEF1-4394-B465-B262DDA15A2E}"/>
    <hyperlink ref="A15" location="'10_Tournées artistiques'!A1" display="Tournées artistiques" xr:uid="{B7D82476-EBAA-4FA5-AF84-6C809044CCCA}"/>
    <hyperlink ref="A16" location="'11_Artistes invité.e.s'!A1" display="Artistes invité.e.s" xr:uid="{10C39C89-AE60-406B-A47B-D19BBD317805}"/>
    <hyperlink ref="A9" location="'4_Bâtiments,travaux, agcmt'!A1" display="Bâtiments, travaux et agencements" xr:uid="{D958A17C-4128-4935-8478-6ADBB61A5357}"/>
    <hyperlink ref="A18" location="'13_Achats - Documents papiers'!A1" display="Achats - Documents papiers" xr:uid="{B40EDBCF-E8A8-4F98-81A4-F6618C67DA29}"/>
    <hyperlink ref="A21" location="'16_Autres achats (€)'!A1" display="Autres achats" xr:uid="{2A914F3B-E31E-49BF-8E26-02ADF142D31C}"/>
    <hyperlink ref="A19" location="'14_Décors'!A1" display="Décors" xr:uid="{5ADC5479-784E-4530-BFF8-F1CE8B38723A}"/>
    <hyperlink ref="A11" location="'6_DéplacementsPrestations'!A1" display="Déplacements de prestations" xr:uid="{AF7DA1F2-65ED-41E4-9A79-D58EB7CBE2C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2C1C56-704B-4510-B17A-B0E06767C161}">
          <x14:formula1>
            <xm:f>'BDD FE'!$B$700:$B$702</xm:f>
          </x14:formula1>
          <xm:sqref>C76:C82</xm:sqref>
        </x14:dataValidation>
        <x14:dataValidation type="list" allowBlank="1" showInputMessage="1" showErrorMessage="1" xr:uid="{D9C3C17F-93FB-4E31-A429-5204C0BFC256}">
          <x14:formula1>
            <xm:f>'BDD FE'!$B$444:$B$453</xm:f>
          </x14:formula1>
          <xm:sqref>E21:E34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C98B-CC32-4987-B78F-93148151C182}">
  <sheetPr>
    <tabColor theme="6" tint="0.79998168889431442"/>
  </sheetPr>
  <dimension ref="A1:M82"/>
  <sheetViews>
    <sheetView showGridLines="0" topLeftCell="B13" zoomScaleNormal="100" workbookViewId="0">
      <selection activeCell="G22" sqref="G22"/>
    </sheetView>
  </sheetViews>
  <sheetFormatPr baseColWidth="10" defaultColWidth="0" defaultRowHeight="14.5"/>
  <cols>
    <col min="1" max="1" width="25.81640625" bestFit="1" customWidth="1"/>
    <col min="2" max="2" width="7.453125" style="112" customWidth="1"/>
    <col min="3" max="8" width="20.54296875" style="112" customWidth="1"/>
    <col min="9" max="10" width="11.1796875" style="112" customWidth="1"/>
    <col min="11" max="12" width="11.1796875" customWidth="1"/>
    <col min="13" max="13" width="66.1796875" customWidth="1"/>
    <col min="14" max="16384" width="11.1796875" hidden="1"/>
  </cols>
  <sheetData>
    <row r="1" spans="1:13" ht="21.25" customHeight="1" thickBot="1">
      <c r="A1" s="647" t="s">
        <v>3359</v>
      </c>
      <c r="B1" s="550" t="s">
        <v>3840</v>
      </c>
      <c r="C1" s="623"/>
      <c r="D1" s="623"/>
      <c r="E1" s="623"/>
      <c r="F1" s="623"/>
      <c r="G1" s="623"/>
      <c r="H1" s="623"/>
      <c r="I1" s="624"/>
      <c r="J1" s="598" t="s">
        <v>3391</v>
      </c>
      <c r="K1" s="599"/>
      <c r="L1" s="600"/>
    </row>
    <row r="2" spans="1:13" ht="18.5" customHeight="1" thickBot="1">
      <c r="A2" s="648"/>
      <c r="B2" s="133"/>
      <c r="C2" s="134"/>
      <c r="D2" s="134"/>
      <c r="F2" s="504">
        <f>H37+H59</f>
        <v>0</v>
      </c>
      <c r="G2" s="134"/>
      <c r="H2" s="134"/>
      <c r="I2" s="135"/>
      <c r="J2" s="610" t="s">
        <v>3457</v>
      </c>
      <c r="K2" s="611"/>
      <c r="L2" s="612"/>
    </row>
    <row r="3" spans="1:13" ht="17.5">
      <c r="A3" s="338"/>
      <c r="B3" s="124"/>
      <c r="C3" s="111"/>
      <c r="D3" s="111"/>
      <c r="E3" s="430"/>
      <c r="F3" s="438"/>
      <c r="G3" s="111"/>
      <c r="H3" s="111"/>
      <c r="I3" s="125"/>
      <c r="J3" s="331"/>
      <c r="K3" s="332"/>
      <c r="L3" s="333"/>
    </row>
    <row r="4" spans="1:13" ht="14.4" customHeight="1">
      <c r="A4" s="338"/>
      <c r="B4" s="124"/>
      <c r="C4" s="111"/>
      <c r="D4" s="111"/>
      <c r="E4" s="430"/>
      <c r="F4" s="438"/>
      <c r="G4" s="111"/>
      <c r="H4" s="111"/>
      <c r="I4" s="125"/>
      <c r="J4" s="331"/>
      <c r="K4" s="332"/>
      <c r="L4" s="333"/>
      <c r="M4" s="293"/>
    </row>
    <row r="5" spans="1:13" ht="46.25" customHeight="1">
      <c r="A5" s="338"/>
      <c r="B5" s="124"/>
      <c r="C5" s="644" t="s">
        <v>3941</v>
      </c>
      <c r="D5" s="644"/>
      <c r="E5" s="644"/>
      <c r="F5" s="644"/>
      <c r="G5" s="644"/>
      <c r="H5" s="644"/>
      <c r="I5" s="125"/>
      <c r="J5" s="331"/>
      <c r="K5" s="332"/>
      <c r="L5" s="333"/>
    </row>
    <row r="6" spans="1:13" ht="17.399999999999999" customHeight="1">
      <c r="A6" s="341" t="s">
        <v>3357</v>
      </c>
      <c r="B6" s="124"/>
      <c r="C6" s="644"/>
      <c r="D6" s="644"/>
      <c r="E6" s="644"/>
      <c r="F6" s="644"/>
      <c r="G6" s="644"/>
      <c r="H6" s="644"/>
      <c r="I6" s="125"/>
      <c r="J6" s="331"/>
      <c r="K6" s="332"/>
      <c r="L6" s="333"/>
    </row>
    <row r="7" spans="1:13" ht="17.399999999999999" customHeight="1">
      <c r="A7" s="339" t="s">
        <v>3434</v>
      </c>
      <c r="B7" s="124"/>
      <c r="C7" s="644"/>
      <c r="D7" s="644"/>
      <c r="E7" s="644"/>
      <c r="F7" s="644"/>
      <c r="G7" s="644"/>
      <c r="H7" s="644"/>
      <c r="I7" s="125"/>
      <c r="J7" s="610" t="s">
        <v>3458</v>
      </c>
      <c r="K7" s="611"/>
      <c r="L7" s="612"/>
    </row>
    <row r="8" spans="1:13" ht="17.5">
      <c r="A8" s="339" t="s">
        <v>7</v>
      </c>
      <c r="B8" s="124"/>
      <c r="C8" s="111"/>
      <c r="D8" s="111"/>
      <c r="E8" s="430"/>
      <c r="F8" s="438"/>
      <c r="G8" s="111"/>
      <c r="H8" s="111"/>
      <c r="I8" s="125"/>
      <c r="J8" s="331"/>
      <c r="K8" s="332"/>
      <c r="L8" s="333"/>
    </row>
    <row r="9" spans="1:13">
      <c r="A9" s="339" t="s">
        <v>3427</v>
      </c>
      <c r="B9" s="124"/>
      <c r="C9" s="642" t="s">
        <v>3436</v>
      </c>
      <c r="D9" s="643"/>
      <c r="E9" s="643"/>
      <c r="F9" s="643"/>
      <c r="G9" s="643"/>
      <c r="H9" s="643"/>
      <c r="I9" s="125"/>
      <c r="J9" s="331"/>
      <c r="K9" s="332"/>
      <c r="L9" s="333"/>
    </row>
    <row r="10" spans="1:13">
      <c r="A10" s="340" t="s">
        <v>10</v>
      </c>
      <c r="B10" s="124"/>
      <c r="C10" s="111"/>
      <c r="D10" s="111"/>
      <c r="E10" s="111"/>
      <c r="F10" s="111"/>
      <c r="G10" s="111"/>
      <c r="H10" s="111"/>
      <c r="I10" s="125"/>
      <c r="J10" s="331"/>
      <c r="K10" s="332"/>
      <c r="L10" s="333"/>
    </row>
    <row r="11" spans="1:13" ht="14.4" customHeight="1">
      <c r="A11" s="340" t="s">
        <v>3645</v>
      </c>
      <c r="B11" s="124"/>
      <c r="C11" s="644" t="s">
        <v>3843</v>
      </c>
      <c r="D11" s="644"/>
      <c r="E11" s="644"/>
      <c r="F11" s="644"/>
      <c r="G11" s="111"/>
      <c r="H11" s="111"/>
      <c r="I11" s="125"/>
      <c r="J11" s="331"/>
      <c r="K11" s="332"/>
      <c r="L11" s="333"/>
    </row>
    <row r="12" spans="1:13">
      <c r="A12" s="339" t="s">
        <v>3431</v>
      </c>
      <c r="B12" s="124"/>
      <c r="C12" s="644"/>
      <c r="D12" s="644"/>
      <c r="E12" s="644"/>
      <c r="F12" s="644"/>
      <c r="G12" s="130"/>
      <c r="H12" s="117" t="s">
        <v>99</v>
      </c>
      <c r="I12" s="125"/>
      <c r="J12" s="331"/>
      <c r="K12" s="332"/>
      <c r="L12" s="333"/>
    </row>
    <row r="13" spans="1:13" ht="37.5">
      <c r="A13" s="340" t="s">
        <v>5</v>
      </c>
      <c r="B13" s="124"/>
      <c r="C13" s="644"/>
      <c r="D13" s="644"/>
      <c r="E13" s="644"/>
      <c r="F13" s="644"/>
      <c r="G13" s="303" t="s">
        <v>97</v>
      </c>
      <c r="H13" s="353">
        <v>10</v>
      </c>
      <c r="I13" s="125"/>
      <c r="J13" s="334"/>
      <c r="K13" s="335"/>
      <c r="L13" s="336"/>
    </row>
    <row r="14" spans="1:13">
      <c r="A14" s="339" t="s">
        <v>6</v>
      </c>
      <c r="B14" s="124"/>
      <c r="C14" s="644"/>
      <c r="D14" s="644"/>
      <c r="E14" s="644"/>
      <c r="F14" s="644"/>
      <c r="G14" s="111"/>
      <c r="H14" s="111"/>
      <c r="I14" s="125"/>
      <c r="J14" s="613" t="s">
        <v>3459</v>
      </c>
      <c r="K14" s="614"/>
      <c r="L14" s="615"/>
    </row>
    <row r="15" spans="1:13">
      <c r="A15" s="340" t="s">
        <v>12</v>
      </c>
      <c r="B15" s="124"/>
      <c r="C15" s="644"/>
      <c r="D15" s="644"/>
      <c r="E15" s="644"/>
      <c r="F15" s="644"/>
      <c r="G15" s="111"/>
      <c r="H15" s="111"/>
      <c r="I15" s="125"/>
      <c r="J15" s="633"/>
      <c r="K15" s="634"/>
      <c r="L15" s="635"/>
    </row>
    <row r="16" spans="1:13">
      <c r="A16" s="340" t="s">
        <v>14</v>
      </c>
      <c r="B16" s="124"/>
      <c r="C16" s="644"/>
      <c r="D16" s="644"/>
      <c r="E16" s="644"/>
      <c r="F16" s="644"/>
      <c r="G16" s="111"/>
      <c r="H16" s="111"/>
      <c r="I16" s="125"/>
      <c r="J16" s="633"/>
      <c r="K16" s="634"/>
      <c r="L16" s="635"/>
    </row>
    <row r="17" spans="1:12">
      <c r="A17" s="339" t="s">
        <v>3426</v>
      </c>
      <c r="B17" s="124"/>
      <c r="C17" s="644"/>
      <c r="D17" s="644"/>
      <c r="E17" s="644"/>
      <c r="F17" s="644"/>
      <c r="G17" s="111"/>
      <c r="H17" s="111"/>
      <c r="I17" s="125"/>
      <c r="J17" s="633"/>
      <c r="K17" s="634"/>
      <c r="L17" s="635"/>
    </row>
    <row r="18" spans="1:12">
      <c r="A18" s="340" t="s">
        <v>3918</v>
      </c>
      <c r="B18" s="124"/>
      <c r="C18" s="644"/>
      <c r="D18" s="644"/>
      <c r="E18" s="644"/>
      <c r="F18" s="644"/>
      <c r="G18" s="111"/>
      <c r="H18" s="111"/>
      <c r="I18" s="125"/>
      <c r="J18" s="633"/>
      <c r="K18" s="634"/>
      <c r="L18" s="635"/>
    </row>
    <row r="19" spans="1:12">
      <c r="A19" s="340" t="s">
        <v>3436</v>
      </c>
      <c r="B19" s="124"/>
      <c r="C19" s="300"/>
      <c r="D19" s="300"/>
      <c r="E19" s="300"/>
      <c r="F19" s="300"/>
      <c r="G19" s="111"/>
      <c r="H19" s="111"/>
      <c r="I19" s="125"/>
      <c r="J19" s="633"/>
      <c r="K19" s="634"/>
      <c r="L19" s="635"/>
    </row>
    <row r="20" spans="1:12" ht="14.4" customHeight="1">
      <c r="A20" s="340" t="s">
        <v>3378</v>
      </c>
      <c r="B20" s="124"/>
      <c r="C20" s="299"/>
      <c r="D20" s="299"/>
      <c r="E20" s="299"/>
      <c r="F20" s="299"/>
      <c r="G20" s="299"/>
      <c r="H20" s="130"/>
      <c r="I20" s="125"/>
      <c r="J20" s="633"/>
      <c r="K20" s="634"/>
      <c r="L20" s="635"/>
    </row>
    <row r="21" spans="1:12">
      <c r="A21" s="339" t="s">
        <v>3430</v>
      </c>
      <c r="B21" s="124"/>
      <c r="C21" s="130"/>
      <c r="D21" s="699" t="s">
        <v>3420</v>
      </c>
      <c r="E21" s="699"/>
      <c r="F21" s="289" t="s">
        <v>3419</v>
      </c>
      <c r="G21" s="130"/>
      <c r="H21" s="130"/>
      <c r="I21" s="125"/>
      <c r="J21" s="633"/>
      <c r="K21" s="634"/>
      <c r="L21" s="635"/>
    </row>
    <row r="22" spans="1:12" ht="37.5">
      <c r="A22" s="340" t="s">
        <v>3433</v>
      </c>
      <c r="B22" s="127"/>
      <c r="C22" s="289" t="s">
        <v>3589</v>
      </c>
      <c r="D22" s="529" t="s">
        <v>4045</v>
      </c>
      <c r="E22" s="289" t="s">
        <v>3450</v>
      </c>
      <c r="F22" s="289" t="s">
        <v>3423</v>
      </c>
      <c r="G22" s="544" t="s">
        <v>4075</v>
      </c>
      <c r="H22" s="117" t="s">
        <v>83</v>
      </c>
      <c r="I22" s="125"/>
      <c r="J22" s="633"/>
      <c r="K22" s="634"/>
      <c r="L22" s="635"/>
    </row>
    <row r="23" spans="1:12">
      <c r="A23" s="340" t="s">
        <v>3428</v>
      </c>
      <c r="B23" s="127"/>
      <c r="C23" s="164"/>
      <c r="D23" s="165"/>
      <c r="E23" s="164"/>
      <c r="F23" s="491"/>
      <c r="G23" s="164"/>
      <c r="H23" s="132">
        <f>IFERROR(IF(ISBLANK(E23),IF(('1_Votre Structure'!$E$6)-(G23)&lt;=$H$13,(F23*10^-3)*'BDD FE'!$C$604*10^-3/$H$13,0),IF(('1_Votre Structure'!$E$6)-(G23)&lt;=$H$13,E23*(VLOOKUP(D23,'BDD FE'!$B$530:$C$559,2,0)*10^-3)/$H$13,0)),0)</f>
        <v>0</v>
      </c>
      <c r="I23" s="236"/>
      <c r="J23" s="633"/>
      <c r="K23" s="634"/>
      <c r="L23" s="635"/>
    </row>
    <row r="24" spans="1:12">
      <c r="A24" s="340" t="s">
        <v>11</v>
      </c>
      <c r="B24" s="127"/>
      <c r="C24" s="164"/>
      <c r="D24" s="165"/>
      <c r="E24" s="164"/>
      <c r="F24" s="164"/>
      <c r="G24" s="164"/>
      <c r="H24" s="132">
        <f>IFERROR(IF(ISBLANK(E24),IF(('1_Votre Structure'!$E$6)-(G24)&lt;=$H$13,(F24*10^-3)*'BDD FE'!$C$604*10^-3/$H$13,0),IF(('1_Votre Structure'!$E$6)-(G24)&lt;=$H$13,E24*(VLOOKUP(D24,'BDD FE'!$B$530:$C$559,2,0)*10^-3)/$H$13,0)),0)</f>
        <v>0</v>
      </c>
      <c r="I24" s="125"/>
      <c r="J24" s="633"/>
      <c r="K24" s="634"/>
      <c r="L24" s="635"/>
    </row>
    <row r="25" spans="1:12">
      <c r="A25" s="340" t="s">
        <v>13</v>
      </c>
      <c r="B25" s="127"/>
      <c r="C25" s="164"/>
      <c r="D25" s="165"/>
      <c r="E25" s="164"/>
      <c r="F25" s="164"/>
      <c r="G25" s="164"/>
      <c r="H25" s="132">
        <f>IFERROR(IF(ISBLANK(E25),IF(('1_Votre Structure'!$E$6)-(G25)&lt;=$H$13,(F25*10^-3)*'BDD FE'!$C$604*10^-3/$H$13,0),IF(('1_Votre Structure'!$E$6)-(G25)&lt;=$H$13,E25*(VLOOKUP(D25,'BDD FE'!$B$530:$C$559,2,0)*10^-3)/$H$13,0)),0)</f>
        <v>0</v>
      </c>
      <c r="I25" s="125"/>
      <c r="J25" s="633"/>
      <c r="K25" s="634"/>
      <c r="L25" s="635"/>
    </row>
    <row r="26" spans="1:12">
      <c r="B26" s="127"/>
      <c r="C26" s="164"/>
      <c r="D26" s="165"/>
      <c r="E26" s="164"/>
      <c r="F26" s="164"/>
      <c r="G26" s="164"/>
      <c r="H26" s="132">
        <f>IFERROR(IF(ISBLANK(E26),IF(('1_Votre Structure'!$E$6)-(G26)&lt;=$H$13,(F26*10^-3)*'BDD FE'!$C$604*10^-3/$H$13,0),IF(('1_Votre Structure'!$E$6)-(G26)&lt;=$H$13,E26*(VLOOKUP(D26,'BDD FE'!$B$530:$C$559,2,0)*10^-3)/$H$13,0)),0)</f>
        <v>0</v>
      </c>
      <c r="I26" s="125"/>
      <c r="J26" s="633"/>
      <c r="K26" s="634"/>
      <c r="L26" s="635"/>
    </row>
    <row r="27" spans="1:12">
      <c r="B27" s="127"/>
      <c r="C27" s="164"/>
      <c r="D27" s="165"/>
      <c r="E27" s="164"/>
      <c r="F27" s="164"/>
      <c r="G27" s="164"/>
      <c r="H27" s="132">
        <f>IFERROR(IF(ISBLANK(E27),IF(('1_Votre Structure'!$E$6)-(G27)&lt;=$H$13,(F27*10^-3)*'BDD FE'!$C$604*10^-3/$H$13,0),IF(('1_Votre Structure'!$E$6)-(G27)&lt;=$H$13,E27*(VLOOKUP(D27,'BDD FE'!$B$530:$C$559,2,0)*10^-3)/$H$13,0)),0)</f>
        <v>0</v>
      </c>
      <c r="I27" s="125"/>
      <c r="J27" s="633"/>
      <c r="K27" s="634"/>
      <c r="L27" s="635"/>
    </row>
    <row r="28" spans="1:12">
      <c r="B28" s="127"/>
      <c r="C28" s="164"/>
      <c r="D28" s="165"/>
      <c r="E28" s="164"/>
      <c r="F28" s="164"/>
      <c r="G28" s="164"/>
      <c r="H28" s="132">
        <f>IFERROR(IF(ISBLANK(E28),IF(('1_Votre Structure'!$E$6)-(G28)&lt;=$H$13,(F28*10^-3)*'BDD FE'!$C$604*10^-3/$H$13,0),IF(('1_Votre Structure'!$E$6)-(G28)&lt;=$H$13,E28*(VLOOKUP(D28,'BDD FE'!$B$530:$C$559,2,0)*10^-3)/$H$13,0)),0)</f>
        <v>0</v>
      </c>
      <c r="I28" s="125"/>
      <c r="J28" s="633"/>
      <c r="K28" s="634"/>
      <c r="L28" s="635"/>
    </row>
    <row r="29" spans="1:12">
      <c r="B29" s="127"/>
      <c r="C29" s="164"/>
      <c r="D29" s="165"/>
      <c r="E29" s="164"/>
      <c r="F29" s="164"/>
      <c r="G29" s="164"/>
      <c r="H29" s="132">
        <f>IFERROR(IF(ISBLANK(E29),IF(('1_Votre Structure'!$E$6)-(G29)&lt;=$H$13,(F29*10^-3)*'BDD FE'!$C$604*10^-3/$H$13,0),IF(('1_Votre Structure'!$E$6)-(G29)&lt;=$H$13,E29*(VLOOKUP(D29,'BDD FE'!$B$530:$C$559,2,0)*10^-3)/$H$13,0)),0)</f>
        <v>0</v>
      </c>
      <c r="I29" s="125"/>
      <c r="J29" s="633"/>
      <c r="K29" s="634"/>
      <c r="L29" s="635"/>
    </row>
    <row r="30" spans="1:12">
      <c r="B30" s="127"/>
      <c r="C30" s="164"/>
      <c r="D30" s="165"/>
      <c r="E30" s="164"/>
      <c r="F30" s="164"/>
      <c r="G30" s="164"/>
      <c r="H30" s="132">
        <f>IFERROR(IF(ISBLANK(E30),IF(('1_Votre Structure'!$E$6)-(G30)&lt;=$H$13,(F30*10^-3)*'BDD FE'!$C$604*10^-3/$H$13,0),IF(('1_Votre Structure'!$E$6)-(G30)&lt;=$H$13,E30*(VLOOKUP(D30,'BDD FE'!$B$530:$C$559,2,0)*10^-3)/$H$13,0)),0)</f>
        <v>0</v>
      </c>
      <c r="I30" s="125"/>
      <c r="J30" s="633"/>
      <c r="K30" s="634"/>
      <c r="L30" s="635"/>
    </row>
    <row r="31" spans="1:12">
      <c r="B31" s="127"/>
      <c r="C31" s="164"/>
      <c r="D31" s="165"/>
      <c r="E31" s="164"/>
      <c r="F31" s="164"/>
      <c r="G31" s="164"/>
      <c r="H31" s="132">
        <f>IFERROR(IF(ISBLANK(E31),IF(('1_Votre Structure'!$E$6)-(G31)&lt;=$H$13,(F31*10^-3)*'BDD FE'!$C$604*10^-3/$H$13,0),IF(('1_Votre Structure'!$E$6)-(G31)&lt;=$H$13,E31*(VLOOKUP(D31,'BDD FE'!$B$530:$C$559,2,0)*10^-3)/$H$13,0)),0)</f>
        <v>0</v>
      </c>
      <c r="I31" s="125"/>
      <c r="J31" s="633"/>
      <c r="K31" s="634"/>
      <c r="L31" s="635"/>
    </row>
    <row r="32" spans="1:12">
      <c r="B32" s="127"/>
      <c r="C32" s="164"/>
      <c r="D32" s="165"/>
      <c r="E32" s="164"/>
      <c r="F32" s="164"/>
      <c r="G32" s="164"/>
      <c r="H32" s="132">
        <f>IFERROR(IF(ISBLANK(E32),IF(('1_Votre Structure'!$E$6)-(G32)&lt;=$H$13,(F32*10^-3)*'BDD FE'!$C$604*10^-3/$H$13,0),IF(('1_Votre Structure'!$E$6)-(G32)&lt;=$H$13,E32*(VLOOKUP(D32,'BDD FE'!$B$530:$C$559,2,0)*10^-3)/$H$13,0)),0)</f>
        <v>0</v>
      </c>
      <c r="I32" s="125"/>
      <c r="J32" s="633"/>
      <c r="K32" s="634"/>
      <c r="L32" s="635"/>
    </row>
    <row r="33" spans="2:12">
      <c r="B33" s="127"/>
      <c r="C33" s="164"/>
      <c r="D33" s="165"/>
      <c r="E33" s="164"/>
      <c r="F33" s="164"/>
      <c r="G33" s="164"/>
      <c r="H33" s="132">
        <f>IFERROR(IF(ISBLANK(E33),IF(('1_Votre Structure'!$E$6)-(G33)&lt;=$H$13,(F33*10^-3)*'BDD FE'!$C$604*10^-3/$H$13,0),IF(('1_Votre Structure'!$E$6)-(G33)&lt;=$H$13,E33*(VLOOKUP(D33,'BDD FE'!$B$530:$C$559,2,0)*10^-3)/$H$13,0)),0)</f>
        <v>0</v>
      </c>
      <c r="I33" s="125"/>
      <c r="J33" s="633"/>
      <c r="K33" s="634"/>
      <c r="L33" s="635"/>
    </row>
    <row r="34" spans="2:12">
      <c r="B34" s="127"/>
      <c r="C34" s="164"/>
      <c r="D34" s="165"/>
      <c r="E34" s="164"/>
      <c r="F34" s="164"/>
      <c r="G34" s="164"/>
      <c r="H34" s="132">
        <f>IFERROR(IF(ISBLANK(E34),IF(('1_Votre Structure'!$E$6)-(G34)&lt;=$H$13,(F34*10^-3)*'BDD FE'!$C$604*10^-3/$H$13,0),IF(('1_Votre Structure'!$E$6)-(G34)&lt;=$H$13,E34*(VLOOKUP(D34,'BDD FE'!$B$530:$C$559,2,0)*10^-3)/$H$13,0)),0)</f>
        <v>0</v>
      </c>
      <c r="I34" s="125"/>
      <c r="J34" s="633"/>
      <c r="K34" s="634"/>
      <c r="L34" s="635"/>
    </row>
    <row r="35" spans="2:12">
      <c r="B35" s="127"/>
      <c r="C35" s="164"/>
      <c r="D35" s="165"/>
      <c r="E35" s="164"/>
      <c r="F35" s="164"/>
      <c r="G35" s="164"/>
      <c r="H35" s="132">
        <f>IFERROR(IF(ISBLANK(E35),IF(('1_Votre Structure'!$E$6)-(G35)&lt;=$H$13,(F35*10^-3)*'BDD FE'!$C$604*10^-3/$H$13,0),IF(('1_Votre Structure'!$E$6)-(G35)&lt;=$H$13,E35*(VLOOKUP(D35,'BDD FE'!$B$530:$C$559,2,0)*10^-3)/$H$13,0)),0)</f>
        <v>0</v>
      </c>
      <c r="I35" s="125"/>
      <c r="J35" s="633"/>
      <c r="K35" s="634"/>
      <c r="L35" s="635"/>
    </row>
    <row r="36" spans="2:12">
      <c r="B36" s="127"/>
      <c r="C36" s="164"/>
      <c r="D36" s="165"/>
      <c r="E36" s="164"/>
      <c r="F36" s="164"/>
      <c r="G36" s="164"/>
      <c r="H36" s="132">
        <f>IFERROR(IF(ISBLANK(E36),IF(('1_Votre Structure'!$E$6)-(G36)&lt;=$H$13,(F36*10^-3)*'BDD FE'!$C$604*10^-3/$H$13,0),IF(('1_Votre Structure'!$E$6)-(G36)&lt;=$H$13,E36*(VLOOKUP(D36,'BDD FE'!$B$530:$C$559,2,0)*10^-3)/$H$13,0)),0)</f>
        <v>0</v>
      </c>
      <c r="I36" s="125"/>
      <c r="J36" s="633"/>
      <c r="K36" s="634"/>
      <c r="L36" s="635"/>
    </row>
    <row r="37" spans="2:12">
      <c r="B37" s="127"/>
      <c r="H37" s="139">
        <f>SUM(H23:H36)</f>
        <v>0</v>
      </c>
      <c r="I37" s="125"/>
      <c r="J37" s="633"/>
      <c r="K37" s="634"/>
      <c r="L37" s="635"/>
    </row>
    <row r="38" spans="2:12">
      <c r="B38" s="124"/>
      <c r="C38" s="111"/>
      <c r="D38" s="111"/>
      <c r="E38" s="111"/>
      <c r="F38" s="111"/>
      <c r="G38" s="111"/>
      <c r="H38" s="111"/>
      <c r="I38" s="125"/>
      <c r="J38" s="633"/>
      <c r="K38" s="634"/>
      <c r="L38" s="635"/>
    </row>
    <row r="39" spans="2:12">
      <c r="B39" s="124"/>
      <c r="C39" s="111"/>
      <c r="D39" s="111"/>
      <c r="E39" s="111"/>
      <c r="F39" s="111"/>
      <c r="G39" s="111"/>
      <c r="H39" s="111"/>
      <c r="I39" s="125"/>
      <c r="J39" s="633"/>
      <c r="K39" s="634"/>
      <c r="L39" s="635"/>
    </row>
    <row r="40" spans="2:12">
      <c r="B40" s="124"/>
      <c r="C40" s="111"/>
      <c r="D40" s="111"/>
      <c r="E40" s="111"/>
      <c r="F40" s="111"/>
      <c r="G40" s="111"/>
      <c r="H40" s="111"/>
      <c r="I40" s="125"/>
      <c r="J40" s="633"/>
      <c r="K40" s="634"/>
      <c r="L40" s="635"/>
    </row>
    <row r="41" spans="2:12">
      <c r="B41" s="124"/>
      <c r="C41" s="111"/>
      <c r="D41" s="111"/>
      <c r="E41" s="111"/>
      <c r="F41" s="111"/>
      <c r="G41" s="111"/>
      <c r="H41" s="111"/>
      <c r="I41" s="125"/>
      <c r="J41" s="633"/>
      <c r="K41" s="634"/>
      <c r="L41" s="635"/>
    </row>
    <row r="42" spans="2:12">
      <c r="B42" s="124"/>
      <c r="C42" s="642" t="s">
        <v>3841</v>
      </c>
      <c r="D42" s="643"/>
      <c r="E42" s="643"/>
      <c r="F42" s="643"/>
      <c r="G42" s="643"/>
      <c r="H42" s="643"/>
      <c r="I42" s="125"/>
      <c r="J42" s="633"/>
      <c r="K42" s="634"/>
      <c r="L42" s="635"/>
    </row>
    <row r="43" spans="2:12">
      <c r="B43" s="124"/>
      <c r="C43" s="415"/>
      <c r="D43" s="415"/>
      <c r="E43" s="415"/>
      <c r="F43" s="415"/>
      <c r="G43" s="415"/>
      <c r="H43" s="415"/>
      <c r="I43" s="125"/>
      <c r="J43" s="633"/>
      <c r="K43" s="634"/>
      <c r="L43" s="635"/>
    </row>
    <row r="44" spans="2:12">
      <c r="B44" s="124"/>
      <c r="C44" s="644" t="s">
        <v>3846</v>
      </c>
      <c r="D44" s="629"/>
      <c r="E44" s="629"/>
      <c r="F44" s="629"/>
      <c r="G44" s="111"/>
      <c r="H44" s="111"/>
      <c r="I44" s="125"/>
      <c r="J44" s="633"/>
      <c r="K44" s="634"/>
      <c r="L44" s="635"/>
    </row>
    <row r="45" spans="2:12">
      <c r="B45" s="124"/>
      <c r="C45" s="629"/>
      <c r="D45" s="629"/>
      <c r="E45" s="629"/>
      <c r="F45" s="629"/>
      <c r="G45" s="130"/>
      <c r="H45" s="117" t="s">
        <v>99</v>
      </c>
      <c r="I45" s="125"/>
      <c r="J45" s="633"/>
      <c r="K45" s="634"/>
      <c r="L45" s="635"/>
    </row>
    <row r="46" spans="2:12" ht="37.5">
      <c r="B46" s="124"/>
      <c r="C46" s="629"/>
      <c r="D46" s="629"/>
      <c r="E46" s="629"/>
      <c r="F46" s="629"/>
      <c r="G46" s="303" t="s">
        <v>97</v>
      </c>
      <c r="H46" s="353">
        <v>5</v>
      </c>
      <c r="I46" s="125"/>
      <c r="J46" s="633"/>
      <c r="K46" s="634"/>
      <c r="L46" s="635"/>
    </row>
    <row r="47" spans="2:12">
      <c r="B47" s="124"/>
      <c r="C47" s="629"/>
      <c r="D47" s="629"/>
      <c r="E47" s="629"/>
      <c r="F47" s="629"/>
      <c r="G47" s="111"/>
      <c r="H47" s="111"/>
      <c r="I47" s="125"/>
      <c r="J47" s="633"/>
      <c r="K47" s="634"/>
      <c r="L47" s="635"/>
    </row>
    <row r="48" spans="2:12">
      <c r="B48" s="124"/>
      <c r="C48" s="415"/>
      <c r="D48" s="415"/>
      <c r="E48" s="415"/>
      <c r="F48" s="415"/>
      <c r="G48" s="415"/>
      <c r="H48" s="415"/>
      <c r="I48" s="125"/>
      <c r="J48" s="633"/>
      <c r="K48" s="634"/>
      <c r="L48" s="635"/>
    </row>
    <row r="49" spans="2:12">
      <c r="B49" s="124"/>
      <c r="C49" s="415"/>
      <c r="D49" s="415"/>
      <c r="E49" s="415"/>
      <c r="F49" s="415"/>
      <c r="G49" s="415"/>
      <c r="H49" s="415"/>
      <c r="I49" s="125"/>
      <c r="J49" s="633"/>
      <c r="K49" s="634"/>
      <c r="L49" s="635"/>
    </row>
    <row r="50" spans="2:12">
      <c r="B50" s="124"/>
      <c r="C50" s="415"/>
      <c r="D50" s="415"/>
      <c r="E50" s="415"/>
      <c r="F50" s="415"/>
      <c r="G50" s="415"/>
      <c r="H50" s="415"/>
      <c r="I50" s="125"/>
      <c r="J50" s="633"/>
      <c r="K50" s="634"/>
      <c r="L50" s="635"/>
    </row>
    <row r="51" spans="2:12">
      <c r="B51" s="124"/>
      <c r="C51" s="111"/>
      <c r="D51" s="111"/>
      <c r="E51" s="111"/>
      <c r="F51" s="111"/>
      <c r="G51" s="111"/>
      <c r="H51" s="111"/>
      <c r="I51" s="125"/>
      <c r="J51" s="633"/>
      <c r="K51" s="634"/>
      <c r="L51" s="635"/>
    </row>
    <row r="52" spans="2:12">
      <c r="B52" s="124"/>
      <c r="C52" s="130"/>
      <c r="D52" s="699" t="s">
        <v>3420</v>
      </c>
      <c r="E52" s="699"/>
      <c r="F52" s="289" t="s">
        <v>3419</v>
      </c>
      <c r="G52" s="130"/>
      <c r="H52" s="130"/>
      <c r="I52" s="125"/>
      <c r="J52" s="633"/>
      <c r="K52" s="634"/>
      <c r="L52" s="635"/>
    </row>
    <row r="53" spans="2:12" ht="37.5">
      <c r="B53" s="124"/>
      <c r="C53" s="456" t="s">
        <v>3842</v>
      </c>
      <c r="D53" s="456" t="s">
        <v>3844</v>
      </c>
      <c r="E53" s="457" t="s">
        <v>3450</v>
      </c>
      <c r="F53" s="457" t="s">
        <v>3423</v>
      </c>
      <c r="G53" s="544" t="s">
        <v>4075</v>
      </c>
      <c r="H53" s="458" t="s">
        <v>83</v>
      </c>
      <c r="I53" s="125"/>
      <c r="J53" s="633"/>
      <c r="K53" s="634"/>
      <c r="L53" s="635"/>
    </row>
    <row r="54" spans="2:12">
      <c r="B54" s="124"/>
      <c r="C54" s="489"/>
      <c r="D54" s="165"/>
      <c r="E54" s="164"/>
      <c r="F54" s="164"/>
      <c r="G54" s="164"/>
      <c r="H54" s="132">
        <f>IFERROR(IF(ISBLANK(E54),IF(('1_Votre Structure'!$E$6)-(G54)&lt;=$H$46,(F54*10^-3)*'BDD FE'!$C$603*10^-3/$H$46,0),IF(('1_Votre Structure'!$E$6)-(G54)&lt;=$H$46,E54*(VLOOKUP(D54,'BDD FE'!$B$566:$C$585,2,0)*10^-3)/$H$46,0)),0)</f>
        <v>0</v>
      </c>
      <c r="I54" s="125"/>
      <c r="J54" s="633"/>
      <c r="K54" s="634"/>
      <c r="L54" s="635"/>
    </row>
    <row r="55" spans="2:12">
      <c r="B55" s="124"/>
      <c r="C55" s="164"/>
      <c r="D55" s="165"/>
      <c r="E55" s="164"/>
      <c r="F55" s="164"/>
      <c r="G55" s="164"/>
      <c r="H55" s="132">
        <f>IFERROR(IF(ISBLANK(E55),IF(('1_Votre Structure'!$E$6)-(G55)&lt;=$H$46,(F55*10^-3)*'BDD FE'!$C$603*10^-3/$H$46,0),IF(('1_Votre Structure'!$E$6)-(G55)&lt;=$H$46,E55*(VLOOKUP(D55,'BDD FE'!$B$566:$C$585,2,0)*10^-3)/$H$46,0)),0)</f>
        <v>0</v>
      </c>
      <c r="I55" s="125"/>
      <c r="J55" s="145"/>
      <c r="L55" s="149"/>
    </row>
    <row r="56" spans="2:12">
      <c r="B56" s="124"/>
      <c r="C56" s="164"/>
      <c r="D56" s="165"/>
      <c r="E56" s="164"/>
      <c r="F56" s="164"/>
      <c r="G56" s="164"/>
      <c r="H56" s="132">
        <f>IFERROR(IF(ISBLANK(E56),IF(('1_Votre Structure'!$E$6)-(G56)&lt;=$H$46,(F56*10^-3)*'BDD FE'!$C$603*10^-3/$H$46,0),IF(('1_Votre Structure'!$E$6)-(G56)&lt;=$H$46,E56*(VLOOKUP(D56,'BDD FE'!$B$566:$C$585,2,0)*10^-3)/$H$46,0)),0)</f>
        <v>0</v>
      </c>
      <c r="I56" s="125"/>
      <c r="J56" s="145"/>
      <c r="L56" s="149"/>
    </row>
    <row r="57" spans="2:12">
      <c r="B57" s="124"/>
      <c r="C57" s="164"/>
      <c r="D57" s="165"/>
      <c r="E57" s="164"/>
      <c r="F57" s="164"/>
      <c r="G57" s="164"/>
      <c r="H57" s="132">
        <f>IFERROR(IF(ISBLANK(E57),IF(('1_Votre Structure'!$E$6)-(G57)&lt;=$H$46,(F57*10^-3)*'BDD FE'!$C$603*10^-3/$H$46,0),IF(('1_Votre Structure'!$E$6)-(G57)&lt;=$H$46,E57*(VLOOKUP(D57,'BDD FE'!$B$566:$C$585,2,0)*10^-3)/$H$46,0)),0)</f>
        <v>0</v>
      </c>
      <c r="I57" s="125"/>
      <c r="J57" s="145"/>
      <c r="L57" s="149"/>
    </row>
    <row r="58" spans="2:12">
      <c r="B58" s="124"/>
      <c r="C58" s="164"/>
      <c r="D58" s="165"/>
      <c r="E58" s="164"/>
      <c r="F58" s="164"/>
      <c r="G58" s="164"/>
      <c r="H58" s="132">
        <f>IFERROR(IF(ISBLANK(E58),IF(('1_Votre Structure'!$E$6)-(G58)&lt;=$H$46,(F58*10^-3)*'BDD FE'!$C$603*10^-3/$H$46,0),IF(('1_Votre Structure'!$E$6)-(G58)&lt;=$H$46,E58*(VLOOKUP(D58,'BDD FE'!$B$566:$C$585,2,0)*10^-3)/$H$46,0)),0)</f>
        <v>0</v>
      </c>
      <c r="I58" s="125"/>
      <c r="J58" s="145"/>
      <c r="L58" s="149"/>
    </row>
    <row r="59" spans="2:12">
      <c r="B59" s="124"/>
      <c r="C59" s="111"/>
      <c r="D59" s="111"/>
      <c r="E59" s="111"/>
      <c r="F59" s="111"/>
      <c r="G59" s="111"/>
      <c r="H59" s="132">
        <f>SUM(H54:H58)</f>
        <v>0</v>
      </c>
      <c r="I59" s="125"/>
      <c r="J59" s="145"/>
      <c r="L59" s="149"/>
    </row>
    <row r="60" spans="2:12">
      <c r="B60" s="124"/>
      <c r="C60" s="111"/>
      <c r="D60" s="111"/>
      <c r="E60" s="111"/>
      <c r="F60" s="111"/>
      <c r="G60" s="111"/>
      <c r="H60" s="111"/>
      <c r="I60" s="125"/>
      <c r="J60" s="145"/>
      <c r="L60" s="149"/>
    </row>
    <row r="61" spans="2:12" ht="14.4" customHeight="1">
      <c r="B61" s="124"/>
      <c r="C61" s="111"/>
      <c r="D61" s="111"/>
      <c r="E61" s="111"/>
      <c r="F61" s="111"/>
      <c r="G61" s="111"/>
      <c r="H61" s="111"/>
      <c r="I61" s="125"/>
      <c r="J61" s="145"/>
      <c r="L61" s="149"/>
    </row>
    <row r="62" spans="2:12" ht="15" thickBot="1">
      <c r="B62" s="124"/>
      <c r="C62" s="111"/>
      <c r="D62" s="111"/>
      <c r="E62" s="111"/>
      <c r="F62" s="111"/>
      <c r="G62" s="111"/>
      <c r="H62" s="111"/>
      <c r="I62" s="125"/>
      <c r="J62" s="150"/>
      <c r="K62" s="151"/>
      <c r="L62" s="152"/>
    </row>
    <row r="63" spans="2:12">
      <c r="B63" s="124"/>
      <c r="C63" s="111"/>
      <c r="D63" s="111"/>
      <c r="E63" s="111"/>
      <c r="F63" s="111"/>
      <c r="G63" s="111"/>
      <c r="H63" s="111"/>
      <c r="I63" s="125"/>
      <c r="J63" s="111"/>
    </row>
    <row r="64" spans="2:12">
      <c r="B64" s="124"/>
      <c r="C64" s="111"/>
      <c r="D64" s="111"/>
      <c r="E64" s="111"/>
      <c r="F64" s="111"/>
      <c r="G64" s="111"/>
      <c r="H64" s="111"/>
      <c r="I64" s="125"/>
      <c r="J64" s="111"/>
    </row>
    <row r="65" spans="2:10">
      <c r="B65" s="124"/>
      <c r="C65" s="111"/>
      <c r="D65" s="111"/>
      <c r="E65" s="111"/>
      <c r="F65" s="111"/>
      <c r="G65" s="111"/>
      <c r="H65" s="111"/>
      <c r="I65" s="125"/>
      <c r="J65" s="111"/>
    </row>
    <row r="66" spans="2:10">
      <c r="B66" s="124"/>
      <c r="C66" s="111"/>
      <c r="D66" s="111"/>
      <c r="E66" s="111"/>
      <c r="F66" s="111"/>
      <c r="G66" s="111"/>
      <c r="H66" s="111"/>
      <c r="I66" s="125"/>
      <c r="J66" s="111"/>
    </row>
    <row r="67" spans="2:10" ht="15" thickBot="1">
      <c r="B67" s="136"/>
      <c r="C67" s="137"/>
      <c r="D67" s="137"/>
      <c r="E67" s="137"/>
      <c r="F67" s="137"/>
      <c r="G67" s="137"/>
      <c r="H67" s="137"/>
      <c r="I67" s="138"/>
      <c r="J67" s="111"/>
    </row>
    <row r="68" spans="2:10">
      <c r="B68" s="111"/>
      <c r="C68" s="111"/>
      <c r="D68" s="111"/>
      <c r="E68" s="111"/>
      <c r="F68" s="111"/>
      <c r="G68" s="111"/>
      <c r="H68" s="111"/>
      <c r="I68" s="111"/>
      <c r="J68" s="111"/>
    </row>
    <row r="69" spans="2:10">
      <c r="B69" s="111"/>
      <c r="C69" s="111"/>
      <c r="D69" s="111"/>
      <c r="E69" s="111"/>
      <c r="F69" s="111"/>
      <c r="G69" s="111"/>
      <c r="H69" s="111"/>
      <c r="I69" s="111"/>
      <c r="J69" s="111"/>
    </row>
    <row r="70" spans="2:10">
      <c r="B70" s="111"/>
      <c r="C70" s="111"/>
      <c r="D70" s="111"/>
      <c r="E70" s="111"/>
      <c r="F70" s="111"/>
      <c r="G70" s="111"/>
      <c r="H70" s="111"/>
      <c r="I70" s="111"/>
      <c r="J70" s="111"/>
    </row>
    <row r="71" spans="2:10">
      <c r="B71" s="111"/>
      <c r="C71" s="111"/>
      <c r="D71" s="111"/>
      <c r="E71" s="111"/>
      <c r="F71" s="111"/>
      <c r="G71" s="111"/>
      <c r="H71" s="111"/>
      <c r="I71" s="111"/>
      <c r="J71" s="111"/>
    </row>
    <row r="72" spans="2:10">
      <c r="B72" s="111"/>
      <c r="C72" s="111"/>
      <c r="D72" s="111"/>
      <c r="E72" s="111"/>
      <c r="F72" s="111"/>
      <c r="G72" s="111"/>
      <c r="H72" s="111"/>
      <c r="I72" s="111"/>
      <c r="J72" s="111"/>
    </row>
    <row r="73" spans="2:10">
      <c r="B73" s="111"/>
      <c r="C73" s="111"/>
      <c r="D73" s="111"/>
      <c r="E73" s="111"/>
      <c r="F73" s="111"/>
      <c r="G73" s="111"/>
      <c r="H73" s="111"/>
      <c r="I73" s="111"/>
      <c r="J73" s="111"/>
    </row>
    <row r="74" spans="2:10">
      <c r="B74" s="111"/>
      <c r="C74" s="111"/>
      <c r="D74" s="111"/>
      <c r="E74" s="111"/>
      <c r="F74" s="111"/>
      <c r="G74" s="111"/>
      <c r="H74" s="111"/>
      <c r="I74" s="111"/>
      <c r="J74" s="111"/>
    </row>
    <row r="75" spans="2:10">
      <c r="B75" s="111"/>
      <c r="C75" s="111"/>
      <c r="D75" s="111"/>
      <c r="E75" s="111"/>
      <c r="F75" s="111"/>
      <c r="G75" s="111"/>
      <c r="H75" s="111"/>
      <c r="I75" s="111"/>
      <c r="J75" s="111"/>
    </row>
    <row r="76" spans="2:10">
      <c r="B76" s="111"/>
      <c r="C76" s="111"/>
      <c r="D76" s="111"/>
      <c r="E76" s="111"/>
      <c r="F76" s="111"/>
      <c r="G76" s="111"/>
      <c r="H76" s="111"/>
      <c r="I76" s="111"/>
      <c r="J76" s="111"/>
    </row>
    <row r="77" spans="2:10">
      <c r="B77" s="111"/>
      <c r="C77" s="111"/>
      <c r="D77" s="111"/>
      <c r="E77" s="111"/>
      <c r="F77" s="111"/>
      <c r="G77" s="111"/>
      <c r="H77" s="111"/>
      <c r="I77" s="111"/>
      <c r="J77" s="111"/>
    </row>
    <row r="78" spans="2:10">
      <c r="B78" s="111"/>
      <c r="C78" s="111"/>
      <c r="D78" s="111"/>
      <c r="E78" s="111"/>
      <c r="F78" s="111"/>
      <c r="G78" s="111"/>
      <c r="H78" s="111"/>
      <c r="I78" s="111"/>
      <c r="J78" s="111"/>
    </row>
    <row r="79" spans="2:10">
      <c r="B79" s="111"/>
      <c r="C79" s="111"/>
      <c r="D79" s="111"/>
      <c r="E79" s="111"/>
      <c r="F79" s="111"/>
      <c r="G79" s="111"/>
      <c r="H79" s="111"/>
      <c r="I79" s="111"/>
      <c r="J79" s="111"/>
    </row>
    <row r="80" spans="2:10">
      <c r="B80" s="111"/>
      <c r="C80" s="111"/>
      <c r="D80" s="111"/>
      <c r="E80" s="111"/>
      <c r="F80" s="111"/>
      <c r="G80" s="111"/>
      <c r="H80" s="111"/>
      <c r="I80" s="111"/>
      <c r="J80" s="111"/>
    </row>
    <row r="81" spans="2:9">
      <c r="B81" s="111"/>
      <c r="C81" s="111"/>
      <c r="D81" s="111"/>
      <c r="E81" s="111"/>
      <c r="F81" s="111"/>
      <c r="G81" s="111"/>
      <c r="H81" s="111"/>
      <c r="I81" s="111"/>
    </row>
    <row r="82" spans="2:9">
      <c r="B82" s="111"/>
      <c r="C82" s="111"/>
      <c r="D82" s="111"/>
      <c r="E82" s="111"/>
      <c r="F82" s="111"/>
      <c r="G82" s="111"/>
      <c r="H82" s="111"/>
      <c r="I82" s="111"/>
    </row>
  </sheetData>
  <protectedRanges>
    <protectedRange sqref="J3" name="Plage1_1_3"/>
    <protectedRange sqref="C23:F36 C54:F58" name="Plage1"/>
    <protectedRange sqref="H13 H46" name="Plage1_2"/>
    <protectedRange sqref="G23:G36 G54:G58" name="Plage1_2_1"/>
  </protectedRanges>
  <mergeCells count="14">
    <mergeCell ref="A1:A2"/>
    <mergeCell ref="B1:I1"/>
    <mergeCell ref="J1:L1"/>
    <mergeCell ref="J2:L2"/>
    <mergeCell ref="J15:L54"/>
    <mergeCell ref="D52:E52"/>
    <mergeCell ref="J7:L7"/>
    <mergeCell ref="J14:L14"/>
    <mergeCell ref="D21:E21"/>
    <mergeCell ref="C9:H9"/>
    <mergeCell ref="C42:H42"/>
    <mergeCell ref="C44:F47"/>
    <mergeCell ref="C5:H7"/>
    <mergeCell ref="C11:F18"/>
  </mergeCells>
  <dataValidations count="2">
    <dataValidation allowBlank="1" showInputMessage="1" showErrorMessage="1" prompt="ATTENTION : Si vous n'avez pas précisé la date de référence de votre bilan dans l'onglet &quot;Votre structure&quot;, l'amortissement de votre matériel ne s'appliquera pas" sqref="G13 G46" xr:uid="{D257F0F2-3FF4-43BC-AE22-2643F5CF6F83}"/>
    <dataValidation type="whole" allowBlank="1" showInputMessage="1" showErrorMessage="1" sqref="G23:G36 G54:G58" xr:uid="{5D08B38C-CF6A-4EF6-BEEE-E072E3F7D86A}">
      <formula1>1900</formula1>
      <formula2>YEAR(TODAY())</formula2>
    </dataValidation>
  </dataValidations>
  <hyperlinks>
    <hyperlink ref="A6" location="'1_Votre Structure'!A1" display="Votre structure" xr:uid="{C6C73130-9290-426A-8BB2-475EE6549517}"/>
    <hyperlink ref="A7" location="'2_ConsoEnergieEau'!A1" display="Consommation d'énergie et d'eau" xr:uid="{BB40EAE6-255D-4B82-9C20-CC9AF40B676F}"/>
    <hyperlink ref="A8" location="'3_Climatisation'!A1" display="Climatisation" xr:uid="{767D4019-8FB1-4CC1-86FE-4866A7B0D060}"/>
    <hyperlink ref="A12" location="'7_DéplacementsProfessionnels'!A1" display="Déplacements professionnels" xr:uid="{2A03FAD5-180A-4EBC-ABFA-24F9BCC12407}"/>
    <hyperlink ref="A13" location="'8_DéplacementsSalariés'!A1" display="Déplacements des salariés" xr:uid="{B043C793-9A65-48F2-9697-57CA41EA857F}"/>
    <hyperlink ref="A17" location="'12_Equipements'!A1" display="Equipements" xr:uid="{59F79A1B-5497-4FC7-BBD7-B5EC80208176}"/>
    <hyperlink ref="A10" location="'5_Déchets'!A1" display="Déchets" xr:uid="{C0E3F7E4-5CC0-49D5-BC1F-7D0730101CC5}"/>
    <hyperlink ref="A22" location="'17_TransportMatériel'!A1" display="Transport de matériel et d'œuvres" xr:uid="{646412BC-3F13-4DAC-A61C-9671F55A8134}"/>
    <hyperlink ref="A23" location="'18_ImpressionsComPapier'!A1" display="Impression et communication papier" xr:uid="{DFCD13CE-D605-4DE2-814A-5956B92D3FFD}"/>
    <hyperlink ref="A24" location="'19_ComDigitale'!A1" display="Communication digitale" xr:uid="{DAB7BD64-944B-44A5-A332-A9F03ACEDE49}"/>
    <hyperlink ref="A25" location="'20_Billetterie'!A1" display="Billetterie" xr:uid="{6BC2F977-DA41-40A4-8CB4-3DAF51F4796F}"/>
    <hyperlink ref="A20" location="'15_Alimentation'!A1" display="Alimentation" xr:uid="{4B5DA1A4-D0A4-45A9-9319-94F6CC830743}"/>
    <hyperlink ref="A14" location="'9_DéplacementsVisiteurs'!A1" display="Déplacements des visiteurs" xr:uid="{1CA3E778-4EA5-4ADA-A21C-EA2AD9ECE274}"/>
    <hyperlink ref="A15" location="'10_Tournées artistiques'!A1" display="Tournées artistiques" xr:uid="{A4D31891-5578-4241-9C38-1489622A2ACA}"/>
    <hyperlink ref="A16" location="'11_Artistes invité.e.s'!A1" display="Artistes invité.e.s" xr:uid="{EB4B32A8-C711-4F18-AA88-0F94749C0E12}"/>
    <hyperlink ref="A9" location="'4_Bâtiments,travaux, agcmt'!A1" display="Bâtiments, travaux et agencements" xr:uid="{0F52DE32-DA4D-4938-A39F-459371B59966}"/>
    <hyperlink ref="A18" location="'13_Achats - Documents papiers'!A1" display="Achats - Documents papiers" xr:uid="{CA7F569A-B2D3-4A7F-BD63-C1AC40981280}"/>
    <hyperlink ref="A21" location="'16_Autres achats (€)'!A1" display="Autres achats" xr:uid="{DC40E7A6-5ABC-404E-903C-F3A49FF80A29}"/>
    <hyperlink ref="A19" location="'14_Décors'!A1" display="Décors" xr:uid="{D456F217-A16B-4DC6-AAC9-0D8D10F9136C}"/>
    <hyperlink ref="A11" location="'6_DéplacementsPrestations'!A1" display="Déplacements de prestations" xr:uid="{5CCB116B-CF0C-4096-956B-D80FAF34164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errorStyle="information" allowBlank="1" showInputMessage="1" xr:uid="{20BA51E3-3804-4812-B37D-EA88F59378D2}">
          <x14:formula1>
            <xm:f>'BDD FE'!$B$530:$B$559</xm:f>
          </x14:formula1>
          <xm:sqref>D23</xm:sqref>
        </x14:dataValidation>
        <x14:dataValidation type="list" errorStyle="information" allowBlank="1" showInputMessage="1" xr:uid="{A9E841BD-5B1E-4DD7-9BF8-34C471F70CA7}">
          <x14:formula1>
            <xm:f>'BDD FE'!$B$531:$B$558</xm:f>
          </x14:formula1>
          <xm:sqref>D24:D36</xm:sqref>
        </x14:dataValidation>
        <x14:dataValidation type="list" errorStyle="information" allowBlank="1" showInputMessage="1" xr:uid="{5B9A9EAE-B383-4B6B-9A54-288A64CDCBFF}">
          <x14:formula1>
            <xm:f>'BDD FE'!$B$566:$B$585</xm:f>
          </x14:formula1>
          <xm:sqref>D54:D58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O62"/>
  <sheetViews>
    <sheetView showGridLines="0" zoomScale="93" zoomScaleNormal="115" workbookViewId="0">
      <selection activeCell="C10" sqref="C10:H10"/>
    </sheetView>
  </sheetViews>
  <sheetFormatPr baseColWidth="10" defaultColWidth="0" defaultRowHeight="14.5" zeroHeight="1"/>
  <cols>
    <col min="1" max="1" width="25.81640625" bestFit="1" customWidth="1"/>
    <col min="2" max="3" width="16.6328125" style="111" customWidth="1"/>
    <col min="4" max="4" width="16.6328125" style="167" customWidth="1"/>
    <col min="5" max="9" width="16.6328125" style="111" customWidth="1"/>
    <col min="10" max="12" width="11.1796875" customWidth="1"/>
    <col min="13" max="13" width="11.453125" style="112" customWidth="1"/>
    <col min="14" max="14" width="11.453125" style="111" hidden="1" customWidth="1"/>
    <col min="15" max="15" width="11.1796875" style="111" hidden="1" customWidth="1"/>
    <col min="16" max="16384" width="11.453125" style="111" hidden="1"/>
  </cols>
  <sheetData>
    <row r="1" spans="1:14" ht="21.25" customHeight="1" thickBot="1">
      <c r="A1" s="647" t="s">
        <v>3359</v>
      </c>
      <c r="B1" s="649" t="s">
        <v>3445</v>
      </c>
      <c r="C1" s="572"/>
      <c r="D1" s="572"/>
      <c r="E1" s="572"/>
      <c r="F1" s="572"/>
      <c r="G1" s="572"/>
      <c r="H1" s="572"/>
      <c r="I1" s="573"/>
      <c r="J1" s="656" t="s">
        <v>3391</v>
      </c>
      <c r="K1" s="657"/>
      <c r="L1" s="658"/>
    </row>
    <row r="2" spans="1:14" ht="14.5" customHeight="1" thickBot="1">
      <c r="A2" s="648"/>
      <c r="B2" s="124"/>
      <c r="C2" s="227"/>
      <c r="D2" s="230"/>
      <c r="E2" s="631">
        <f>SUM(H34,F52)</f>
        <v>0</v>
      </c>
      <c r="F2" s="632"/>
      <c r="G2" s="227"/>
      <c r="H2" s="227"/>
      <c r="I2" s="231"/>
      <c r="J2" s="613" t="s">
        <v>3457</v>
      </c>
      <c r="K2" s="614"/>
      <c r="L2" s="615"/>
      <c r="N2" s="227"/>
    </row>
    <row r="3" spans="1:14">
      <c r="A3" s="338"/>
      <c r="B3" s="124"/>
      <c r="C3" s="227"/>
      <c r="D3" s="230"/>
      <c r="E3" s="227"/>
      <c r="F3" s="227"/>
      <c r="G3" s="227"/>
      <c r="H3" s="227"/>
      <c r="I3" s="231"/>
      <c r="J3" s="633"/>
      <c r="K3" s="634"/>
      <c r="L3" s="635"/>
      <c r="N3" s="227"/>
    </row>
    <row r="4" spans="1:14">
      <c r="A4" s="338"/>
      <c r="B4" s="124"/>
      <c r="C4" s="671" t="s">
        <v>4046</v>
      </c>
      <c r="D4" s="671"/>
      <c r="E4" s="671"/>
      <c r="F4" s="671"/>
      <c r="G4" s="671"/>
      <c r="H4" s="671"/>
      <c r="I4" s="231"/>
      <c r="J4" s="633"/>
      <c r="K4" s="634"/>
      <c r="L4" s="635"/>
      <c r="N4" s="227"/>
    </row>
    <row r="5" spans="1:14" ht="33.65" customHeight="1">
      <c r="A5" s="338"/>
      <c r="B5" s="124"/>
      <c r="C5" s="671"/>
      <c r="D5" s="671"/>
      <c r="E5" s="671"/>
      <c r="F5" s="671"/>
      <c r="G5" s="671"/>
      <c r="H5" s="671"/>
      <c r="I5" s="231"/>
      <c r="J5" s="633"/>
      <c r="K5" s="634"/>
      <c r="L5" s="635"/>
      <c r="N5" s="227"/>
    </row>
    <row r="6" spans="1:14" ht="12.9" customHeight="1">
      <c r="A6" s="341" t="s">
        <v>3357</v>
      </c>
      <c r="B6" s="124"/>
      <c r="C6" s="671"/>
      <c r="D6" s="671"/>
      <c r="E6" s="671"/>
      <c r="F6" s="671"/>
      <c r="G6" s="671"/>
      <c r="H6" s="671"/>
      <c r="I6" s="231"/>
      <c r="J6" s="639"/>
      <c r="K6" s="640"/>
      <c r="L6" s="641"/>
    </row>
    <row r="7" spans="1:14" ht="12.9" customHeight="1">
      <c r="A7" s="339" t="s">
        <v>3434</v>
      </c>
      <c r="B7" s="124"/>
      <c r="C7" s="227"/>
      <c r="D7" s="230"/>
      <c r="E7" s="227"/>
      <c r="F7" s="227"/>
      <c r="G7" s="227"/>
      <c r="H7" s="227"/>
      <c r="I7" s="231"/>
      <c r="J7" s="246" t="s">
        <v>3458</v>
      </c>
      <c r="K7" s="343"/>
      <c r="L7" s="344"/>
    </row>
    <row r="8" spans="1:14" ht="12.9" customHeight="1">
      <c r="A8" s="339" t="s">
        <v>7</v>
      </c>
      <c r="B8" s="124"/>
      <c r="C8" s="627" t="s">
        <v>3685</v>
      </c>
      <c r="D8" s="628"/>
      <c r="E8" s="628"/>
      <c r="F8" s="628"/>
      <c r="G8" s="628"/>
      <c r="H8" s="628"/>
      <c r="I8" s="231"/>
      <c r="J8" s="633"/>
      <c r="K8" s="634"/>
      <c r="L8" s="635"/>
    </row>
    <row r="9" spans="1:14" ht="25">
      <c r="A9" s="339" t="s">
        <v>3427</v>
      </c>
      <c r="B9" s="124"/>
      <c r="C9" s="122" t="s">
        <v>165</v>
      </c>
      <c r="D9" s="117" t="s">
        <v>166</v>
      </c>
      <c r="E9" s="117" t="s">
        <v>44</v>
      </c>
      <c r="F9" s="117" t="s">
        <v>167</v>
      </c>
      <c r="G9" s="117" t="s">
        <v>168</v>
      </c>
      <c r="H9" s="117" t="s">
        <v>23</v>
      </c>
      <c r="I9" s="125"/>
      <c r="J9" s="633"/>
      <c r="K9" s="634"/>
      <c r="L9" s="635"/>
    </row>
    <row r="10" spans="1:14" ht="12.9" customHeight="1">
      <c r="A10" s="340" t="s">
        <v>10</v>
      </c>
      <c r="B10" s="124"/>
      <c r="C10" s="118"/>
      <c r="D10" s="234">
        <f>IFERROR(VLOOKUP(C10,'BDD FE Alim'!$A$2:$N$60,2,0),0)</f>
        <v>0</v>
      </c>
      <c r="E10" s="163"/>
      <c r="F10" s="118"/>
      <c r="G10" s="118"/>
      <c r="H10" s="123">
        <f>IFERROR(IF(OR(C10="Mix sandwichs carnés",C10="Mix sandwichs végés"), (0.3*IF(G10="Oui",(VLOOKUP(C10,'BDD FE Alim'!$A$3:$M$60,12,FALSE)*E10-IF(F10="Non",VLOOKUP(C10,'BDD FE Alim'!$A$3:$M$60,7,FALSE))*E10)*10^-3,(VLOOKUP(C10,'BDD FE Alim'!$A$3:$M$60,11,FALSE)*E10-IF(F10="Non",VLOOKUP(C10,'BDD FE Alim'!$A$3:$M$60,7,FALSE)*E10))*10^-3)),IF(G10="Oui",(VLOOKUP(C10,'BDD FE Alim'!$A$3:$M$60,12,FALSE)*E10-IF(F10="Non",VLOOKUP(C10,'BDD FE Alim'!$A$3:$M$60,7,FALSE))*E10)*10^-3,(VLOOKUP(C10,'BDD FE Alim'!$A$3:$M$60,11,FALSE)*E10-IF(F10="Non",VLOOKUP(C10,'BDD FE Alim'!$A$3:$M$60,7,FALSE)*E10))*10^-3)),0)</f>
        <v>0</v>
      </c>
      <c r="I10" s="125"/>
      <c r="J10" s="633"/>
      <c r="K10" s="634"/>
      <c r="L10" s="635"/>
    </row>
    <row r="11" spans="1:14" ht="12.9" customHeight="1">
      <c r="A11" s="340" t="s">
        <v>3645</v>
      </c>
      <c r="B11" s="124"/>
      <c r="C11" s="118"/>
      <c r="D11" s="234">
        <f>IFERROR(VLOOKUP(C11,'BDD FE Alim'!$A$2:$N$60,2,0),0)</f>
        <v>0</v>
      </c>
      <c r="E11" s="163"/>
      <c r="F11" s="118"/>
      <c r="G11" s="118"/>
      <c r="H11" s="123">
        <f>IFERROR(IF(OR(C11="Mix sandwichs carnés",C11="Mix sandwichs végés"), (0.3*IF(G11="Oui",(VLOOKUP(C11,'BDD FE Alim'!$A$3:$M$60,12,FALSE)*E11-IF(F11="Non",VLOOKUP(C11,'BDD FE Alim'!$A$3:$M$60,7,FALSE))*E11)*10^-3,(VLOOKUP(C11,'BDD FE Alim'!$A$3:$M$60,11,FALSE)*E11-IF(F11="Non",VLOOKUP(C11,'BDD FE Alim'!$A$3:$M$60,7,FALSE)*E11))*10^-3)),IF(G11="Oui",(VLOOKUP(C11,'BDD FE Alim'!$A$3:$M$60,12,FALSE)*E11-IF(F11="Non",VLOOKUP(C11,'BDD FE Alim'!$A$3:$M$60,7,FALSE))*E11)*10^-3,(VLOOKUP(C11,'BDD FE Alim'!$A$3:$M$60,11,FALSE)*E11-IF(F11="Non",VLOOKUP(C11,'BDD FE Alim'!$A$3:$M$60,7,FALSE)*E11))*10^-3)),0)</f>
        <v>0</v>
      </c>
      <c r="I11" s="125"/>
      <c r="J11" s="633"/>
      <c r="K11" s="634"/>
      <c r="L11" s="635"/>
    </row>
    <row r="12" spans="1:14" ht="12.9" customHeight="1">
      <c r="A12" s="339" t="s">
        <v>3431</v>
      </c>
      <c r="B12" s="124"/>
      <c r="C12" s="118"/>
      <c r="D12" s="234">
        <f>IFERROR(VLOOKUP(C12,'BDD FE Alim'!$A$2:$N$60,2,0),0)</f>
        <v>0</v>
      </c>
      <c r="E12" s="163"/>
      <c r="F12" s="118"/>
      <c r="G12" s="118"/>
      <c r="H12" s="123">
        <f>IFERROR(IF(OR(C12="Mix sandwichs carnés",C12="Mix sandwichs végés"), (0.3*IF(G12="Oui",(VLOOKUP(C12,'BDD FE Alim'!$A$3:$M$60,12,FALSE)*E12-IF(F12="Non",VLOOKUP(C12,'BDD FE Alim'!$A$3:$M$60,7,FALSE))*E12)*10^-3,(VLOOKUP(C12,'BDD FE Alim'!$A$3:$M$60,11,FALSE)*E12-IF(F12="Non",VLOOKUP(C12,'BDD FE Alim'!$A$3:$M$60,7,FALSE)*E12))*10^-3)),IF(G12="Oui",(VLOOKUP(C12,'BDD FE Alim'!$A$3:$M$60,12,FALSE)*E12-IF(F12="Non",VLOOKUP(C12,'BDD FE Alim'!$A$3:$M$60,7,FALSE))*E12)*10^-3,(VLOOKUP(C12,'BDD FE Alim'!$A$3:$M$60,11,FALSE)*E12-IF(F12="Non",VLOOKUP(C12,'BDD FE Alim'!$A$3:$M$60,7,FALSE)*E12))*10^-3)),0)</f>
        <v>0</v>
      </c>
      <c r="I12" s="125"/>
      <c r="J12" s="633"/>
      <c r="K12" s="634"/>
      <c r="L12" s="635"/>
    </row>
    <row r="13" spans="1:14" ht="12.9" customHeight="1">
      <c r="A13" s="340" t="s">
        <v>5</v>
      </c>
      <c r="B13" s="124"/>
      <c r="C13" s="118"/>
      <c r="D13" s="234">
        <f>IFERROR(VLOOKUP(C13,'BDD FE Alim'!$A$2:$N$60,2,0),0)</f>
        <v>0</v>
      </c>
      <c r="E13" s="163"/>
      <c r="F13" s="118"/>
      <c r="G13" s="118"/>
      <c r="H13" s="123">
        <f>IFERROR(IF(OR(C13="Mix sandwichs carnés",C13="Mix sandwichs végés"), (0.3*IF(G13="Oui",(VLOOKUP(C13,'BDD FE Alim'!$A$3:$M$60,12,FALSE)*E13-IF(F13="Non",VLOOKUP(C13,'BDD FE Alim'!$A$3:$M$60,7,FALSE))*E13)*10^-3,(VLOOKUP(C13,'BDD FE Alim'!$A$3:$M$60,11,FALSE)*E13-IF(F13="Non",VLOOKUP(C13,'BDD FE Alim'!$A$3:$M$60,7,FALSE)*E13))*10^-3)),IF(G13="Oui",(VLOOKUP(C13,'BDD FE Alim'!$A$3:$M$60,12,FALSE)*E13-IF(F13="Non",VLOOKUP(C13,'BDD FE Alim'!$A$3:$M$60,7,FALSE))*E13)*10^-3,(VLOOKUP(C13,'BDD FE Alim'!$A$3:$M$60,11,FALSE)*E13-IF(F13="Non",VLOOKUP(C13,'BDD FE Alim'!$A$3:$M$60,7,FALSE)*E13))*10^-3)),0)</f>
        <v>0</v>
      </c>
      <c r="I13" s="125"/>
      <c r="J13" s="633"/>
      <c r="K13" s="634"/>
      <c r="L13" s="635"/>
    </row>
    <row r="14" spans="1:14" ht="12.9" customHeight="1">
      <c r="A14" s="339" t="s">
        <v>6</v>
      </c>
      <c r="B14" s="124"/>
      <c r="C14" s="118"/>
      <c r="D14" s="234">
        <f>IFERROR(VLOOKUP(C14,'BDD FE Alim'!$A$2:$N$60,2,0),0)</f>
        <v>0</v>
      </c>
      <c r="E14" s="163"/>
      <c r="F14" s="118"/>
      <c r="G14" s="118"/>
      <c r="H14" s="123">
        <f>IFERROR(IF(OR(C14="Mix sandwichs carnés",C14="Mix sandwichs végés"), (0.3*IF(G14="Oui",(VLOOKUP(C14,'BDD FE Alim'!$A$3:$M$60,12,FALSE)*E14-IF(F14="Non",VLOOKUP(C14,'BDD FE Alim'!$A$3:$M$60,7,FALSE))*E14)*10^-3,(VLOOKUP(C14,'BDD FE Alim'!$A$3:$M$60,11,FALSE)*E14-IF(F14="Non",VLOOKUP(C14,'BDD FE Alim'!$A$3:$M$60,7,FALSE)*E14))*10^-3)),IF(G14="Oui",(VLOOKUP(C14,'BDD FE Alim'!$A$3:$M$60,12,FALSE)*E14-IF(F14="Non",VLOOKUP(C14,'BDD FE Alim'!$A$3:$M$60,7,FALSE))*E14)*10^-3,(VLOOKUP(C14,'BDD FE Alim'!$A$3:$M$60,11,FALSE)*E14-IF(F14="Non",VLOOKUP(C14,'BDD FE Alim'!$A$3:$M$60,7,FALSE)*E14))*10^-3)),0)</f>
        <v>0</v>
      </c>
      <c r="I14" s="125"/>
      <c r="J14" s="633"/>
      <c r="K14" s="634"/>
      <c r="L14" s="635"/>
    </row>
    <row r="15" spans="1:14" ht="12.5">
      <c r="A15" s="340" t="s">
        <v>12</v>
      </c>
      <c r="B15" s="124"/>
      <c r="C15" s="118"/>
      <c r="D15" s="234">
        <f>IFERROR(VLOOKUP(C15,'BDD FE Alim'!$A$2:$N$60,2,0),0)</f>
        <v>0</v>
      </c>
      <c r="E15" s="163"/>
      <c r="F15" s="118"/>
      <c r="G15" s="118"/>
      <c r="H15" s="123">
        <f>IFERROR(IF(OR(C15="Mix sandwichs carnés",C15="Mix sandwichs végés"), (0.3*IF(G15="Oui",(VLOOKUP(C15,'BDD FE Alim'!$A$3:$M$60,12,FALSE)*E15-IF(F15="Non",VLOOKUP(C15,'BDD FE Alim'!$A$3:$M$60,7,FALSE))*E15)*10^-3,(VLOOKUP(C15,'BDD FE Alim'!$A$3:$M$60,11,FALSE)*E15-IF(F15="Non",VLOOKUP(C15,'BDD FE Alim'!$A$3:$M$60,7,FALSE)*E15))*10^-3)),IF(G15="Oui",(VLOOKUP(C15,'BDD FE Alim'!$A$3:$M$60,12,FALSE)*E15-IF(F15="Non",VLOOKUP(C15,'BDD FE Alim'!$A$3:$M$60,7,FALSE))*E15)*10^-3,(VLOOKUP(C15,'BDD FE Alim'!$A$3:$M$60,11,FALSE)*E15-IF(F15="Non",VLOOKUP(C15,'BDD FE Alim'!$A$3:$M$60,7,FALSE)*E15))*10^-3)),0)</f>
        <v>0</v>
      </c>
      <c r="I15" s="125"/>
      <c r="J15" s="633"/>
      <c r="K15" s="634"/>
      <c r="L15" s="635"/>
    </row>
    <row r="16" spans="1:14" ht="12.5">
      <c r="A16" s="340" t="s">
        <v>14</v>
      </c>
      <c r="B16" s="124"/>
      <c r="C16" s="118"/>
      <c r="D16" s="234">
        <f>IFERROR(VLOOKUP(C16,'BDD FE Alim'!$A$2:$N$60,2,0),0)</f>
        <v>0</v>
      </c>
      <c r="E16" s="163"/>
      <c r="F16" s="118"/>
      <c r="G16" s="118"/>
      <c r="H16" s="123">
        <f>IFERROR(IF(OR(C16="Mix sandwichs carnés",C16="Mix sandwichs végés"), (0.3*IF(G16="Oui",(VLOOKUP(C16,'BDD FE Alim'!$A$3:$M$60,12,FALSE)*E16-IF(F16="Non",VLOOKUP(C16,'BDD FE Alim'!$A$3:$M$60,7,FALSE))*E16)*10^-3,(VLOOKUP(C16,'BDD FE Alim'!$A$3:$M$60,11,FALSE)*E16-IF(F16="Non",VLOOKUP(C16,'BDD FE Alim'!$A$3:$M$60,7,FALSE)*E16))*10^-3)),IF(G16="Oui",(VLOOKUP(C16,'BDD FE Alim'!$A$3:$M$60,12,FALSE)*E16-IF(F16="Non",VLOOKUP(C16,'BDD FE Alim'!$A$3:$M$60,7,FALSE))*E16)*10^-3,(VLOOKUP(C16,'BDD FE Alim'!$A$3:$M$60,11,FALSE)*E16-IF(F16="Non",VLOOKUP(C16,'BDD FE Alim'!$A$3:$M$60,7,FALSE)*E16))*10^-3)),0)</f>
        <v>0</v>
      </c>
      <c r="I16" s="125"/>
      <c r="J16" s="633"/>
      <c r="K16" s="634"/>
      <c r="L16" s="635"/>
    </row>
    <row r="17" spans="1:12" ht="12.5">
      <c r="A17" s="339" t="s">
        <v>3426</v>
      </c>
      <c r="B17" s="124"/>
      <c r="C17" s="118"/>
      <c r="D17" s="234">
        <f>IFERROR(VLOOKUP(C17,'BDD FE Alim'!$A$2:$N$60,2,0),0)</f>
        <v>0</v>
      </c>
      <c r="E17" s="163"/>
      <c r="F17" s="118"/>
      <c r="G17" s="118"/>
      <c r="H17" s="123">
        <f>IFERROR(IF(OR(C17="Mix sandwichs carnés",C17="Mix sandwichs végés"), (0.3*IF(G17="Oui",(VLOOKUP(C17,'BDD FE Alim'!$A$3:$M$60,12,FALSE)*E17-IF(F17="Non",VLOOKUP(C17,'BDD FE Alim'!$A$3:$M$60,7,FALSE))*E17)*10^-3,(VLOOKUP(C17,'BDD FE Alim'!$A$3:$M$60,11,FALSE)*E17-IF(F17="Non",VLOOKUP(C17,'BDD FE Alim'!$A$3:$M$60,7,FALSE)*E17))*10^-3)),IF(G17="Oui",(VLOOKUP(C17,'BDD FE Alim'!$A$3:$M$60,12,FALSE)*E17-IF(F17="Non",VLOOKUP(C17,'BDD FE Alim'!$A$3:$M$60,7,FALSE))*E17)*10^-3,(VLOOKUP(C17,'BDD FE Alim'!$A$3:$M$60,11,FALSE)*E17-IF(F17="Non",VLOOKUP(C17,'BDD FE Alim'!$A$3:$M$60,7,FALSE)*E17))*10^-3)),0)</f>
        <v>0</v>
      </c>
      <c r="I17" s="125"/>
      <c r="J17" s="633"/>
      <c r="K17" s="634"/>
      <c r="L17" s="635"/>
    </row>
    <row r="18" spans="1:12" ht="12.5">
      <c r="A18" s="340" t="s">
        <v>3918</v>
      </c>
      <c r="B18" s="124"/>
      <c r="C18" s="118"/>
      <c r="D18" s="234">
        <f>IFERROR(VLOOKUP(C18,'BDD FE Alim'!$A$2:$N$60,2,0),0)</f>
        <v>0</v>
      </c>
      <c r="E18" s="163"/>
      <c r="F18" s="118"/>
      <c r="G18" s="118"/>
      <c r="H18" s="123">
        <f>IFERROR(IF(OR(C18="Mix sandwichs carnés",C18="Mix sandwichs végés"), (0.3*IF(G18="Oui",(VLOOKUP(C18,'BDD FE Alim'!$A$3:$M$60,12,FALSE)*E18-IF(F18="Non",VLOOKUP(C18,'BDD FE Alim'!$A$3:$M$60,7,FALSE))*E18)*10^-3,(VLOOKUP(C18,'BDD FE Alim'!$A$3:$M$60,11,FALSE)*E18-IF(F18="Non",VLOOKUP(C18,'BDD FE Alim'!$A$3:$M$60,7,FALSE)*E18))*10^-3)),IF(G18="Oui",(VLOOKUP(C18,'BDD FE Alim'!$A$3:$M$60,12,FALSE)*E18-IF(F18="Non",VLOOKUP(C18,'BDD FE Alim'!$A$3:$M$60,7,FALSE))*E18)*10^-3,(VLOOKUP(C18,'BDD FE Alim'!$A$3:$M$60,11,FALSE)*E18-IF(F18="Non",VLOOKUP(C18,'BDD FE Alim'!$A$3:$M$60,7,FALSE)*E18))*10^-3)),0)</f>
        <v>0</v>
      </c>
      <c r="I18" s="125"/>
      <c r="J18" s="633"/>
      <c r="K18" s="634"/>
      <c r="L18" s="635"/>
    </row>
    <row r="19" spans="1:12" ht="12.5">
      <c r="A19" s="340" t="s">
        <v>3436</v>
      </c>
      <c r="B19" s="124"/>
      <c r="C19" s="118"/>
      <c r="D19" s="234">
        <f>IFERROR(VLOOKUP(C19,'BDD FE Alim'!$A$2:$N$60,2,0),0)</f>
        <v>0</v>
      </c>
      <c r="E19" s="163"/>
      <c r="F19" s="118"/>
      <c r="G19" s="118"/>
      <c r="H19" s="123">
        <f>IFERROR(IF(OR(C19="Mix sandwichs carnés",C19="Mix sandwichs végés"), (0.3*IF(G19="Oui",(VLOOKUP(C19,'BDD FE Alim'!$A$3:$M$60,12,FALSE)*E19-IF(F19="Non",VLOOKUP(C19,'BDD FE Alim'!$A$3:$M$60,7,FALSE))*E19)*10^-3,(VLOOKUP(C19,'BDD FE Alim'!$A$3:$M$60,11,FALSE)*E19-IF(F19="Non",VLOOKUP(C19,'BDD FE Alim'!$A$3:$M$60,7,FALSE)*E19))*10^-3)),IF(G19="Oui",(VLOOKUP(C19,'BDD FE Alim'!$A$3:$M$60,12,FALSE)*E19-IF(F19="Non",VLOOKUP(C19,'BDD FE Alim'!$A$3:$M$60,7,FALSE))*E19)*10^-3,(VLOOKUP(C19,'BDD FE Alim'!$A$3:$M$60,11,FALSE)*E19-IF(F19="Non",VLOOKUP(C19,'BDD FE Alim'!$A$3:$M$60,7,FALSE)*E19))*10^-3)),0)</f>
        <v>0</v>
      </c>
      <c r="I19" s="125"/>
      <c r="J19" s="633"/>
      <c r="K19" s="634"/>
      <c r="L19" s="635"/>
    </row>
    <row r="20" spans="1:12" ht="12.5">
      <c r="A20" s="340" t="s">
        <v>3378</v>
      </c>
      <c r="B20" s="124"/>
      <c r="C20" s="118"/>
      <c r="D20" s="234">
        <f>IFERROR(VLOOKUP(C20,'BDD FE Alim'!$A$2:$N$60,2,0),0)</f>
        <v>0</v>
      </c>
      <c r="E20" s="163"/>
      <c r="F20" s="118"/>
      <c r="G20" s="118"/>
      <c r="H20" s="123">
        <f>IFERROR(IF(OR(C20="Mix sandwichs carnés",C20="Mix sandwichs végés"), (0.3*IF(G20="Oui",(VLOOKUP(C20,'BDD FE Alim'!$A$3:$M$60,12,FALSE)*E20-IF(F20="Non",VLOOKUP(C20,'BDD FE Alim'!$A$3:$M$60,7,FALSE))*E20)*10^-3,(VLOOKUP(C20,'BDD FE Alim'!$A$3:$M$60,11,FALSE)*E20-IF(F20="Non",VLOOKUP(C20,'BDD FE Alim'!$A$3:$M$60,7,FALSE)*E20))*10^-3)),IF(G20="Oui",(VLOOKUP(C20,'BDD FE Alim'!$A$3:$M$60,12,FALSE)*E20-IF(F20="Non",VLOOKUP(C20,'BDD FE Alim'!$A$3:$M$60,7,FALSE))*E20)*10^-3,(VLOOKUP(C20,'BDD FE Alim'!$A$3:$M$60,11,FALSE)*E20-IF(F20="Non",VLOOKUP(C20,'BDD FE Alim'!$A$3:$M$60,7,FALSE)*E20))*10^-3)),0)</f>
        <v>0</v>
      </c>
      <c r="I20" s="125"/>
      <c r="J20" s="633"/>
      <c r="K20" s="634"/>
      <c r="L20" s="635"/>
    </row>
    <row r="21" spans="1:12" ht="12.5">
      <c r="A21" s="339" t="s">
        <v>3430</v>
      </c>
      <c r="B21" s="124"/>
      <c r="C21" s="118"/>
      <c r="D21" s="234">
        <f>IFERROR(VLOOKUP(C21,'BDD FE Alim'!$A$2:$N$60,2,0),0)</f>
        <v>0</v>
      </c>
      <c r="E21" s="163"/>
      <c r="F21" s="118"/>
      <c r="G21" s="118"/>
      <c r="H21" s="123">
        <f>IFERROR(IF(OR(C21="Mix sandwichs carnés",C21="Mix sandwichs végés"), (0.3*IF(G21="Oui",(VLOOKUP(C21,'BDD FE Alim'!$A$3:$M$60,12,FALSE)*E21-IF(F21="Non",VLOOKUP(C21,'BDD FE Alim'!$A$3:$M$60,7,FALSE))*E21)*10^-3,(VLOOKUP(C21,'BDD FE Alim'!$A$3:$M$60,11,FALSE)*E21-IF(F21="Non",VLOOKUP(C21,'BDD FE Alim'!$A$3:$M$60,7,FALSE)*E21))*10^-3)),IF(G21="Oui",(VLOOKUP(C21,'BDD FE Alim'!$A$3:$M$60,12,FALSE)*E21-IF(F21="Non",VLOOKUP(C21,'BDD FE Alim'!$A$3:$M$60,7,FALSE))*E21)*10^-3,(VLOOKUP(C21,'BDD FE Alim'!$A$3:$M$60,11,FALSE)*E21-IF(F21="Non",VLOOKUP(C21,'BDD FE Alim'!$A$3:$M$60,7,FALSE)*E21))*10^-3)),0)</f>
        <v>0</v>
      </c>
      <c r="I21" s="125"/>
      <c r="J21" s="633"/>
      <c r="K21" s="634"/>
      <c r="L21" s="635"/>
    </row>
    <row r="22" spans="1:12" ht="12.5">
      <c r="A22" s="340" t="s">
        <v>3433</v>
      </c>
      <c r="B22" s="124"/>
      <c r="C22" s="118"/>
      <c r="D22" s="234">
        <f>IFERROR(VLOOKUP(C22,'BDD FE Alim'!$A$2:$N$60,2,0),0)</f>
        <v>0</v>
      </c>
      <c r="E22" s="163"/>
      <c r="F22" s="118"/>
      <c r="G22" s="118"/>
      <c r="H22" s="123">
        <f>IFERROR(IF(OR(C22="Mix sandwichs carnés",C22="Mix sandwichs végés"), (0.3*IF(G22="Oui",(VLOOKUP(C22,'BDD FE Alim'!$A$3:$M$60,12,FALSE)*E22-IF(F22="Non",VLOOKUP(C22,'BDD FE Alim'!$A$3:$M$60,7,FALSE))*E22)*10^-3,(VLOOKUP(C22,'BDD FE Alim'!$A$3:$M$60,11,FALSE)*E22-IF(F22="Non",VLOOKUP(C22,'BDD FE Alim'!$A$3:$M$60,7,FALSE)*E22))*10^-3)),IF(G22="Oui",(VLOOKUP(C22,'BDD FE Alim'!$A$3:$M$60,12,FALSE)*E22-IF(F22="Non",VLOOKUP(C22,'BDD FE Alim'!$A$3:$M$60,7,FALSE))*E22)*10^-3,(VLOOKUP(C22,'BDD FE Alim'!$A$3:$M$60,11,FALSE)*E22-IF(F22="Non",VLOOKUP(C22,'BDD FE Alim'!$A$3:$M$60,7,FALSE)*E22))*10^-3)),0)</f>
        <v>0</v>
      </c>
      <c r="I22" s="125"/>
      <c r="J22" s="633"/>
      <c r="K22" s="634"/>
      <c r="L22" s="635"/>
    </row>
    <row r="23" spans="1:12" ht="12.5">
      <c r="A23" s="340" t="s">
        <v>3428</v>
      </c>
      <c r="B23" s="124"/>
      <c r="C23" s="118"/>
      <c r="D23" s="234">
        <f>IFERROR(VLOOKUP(C23,'BDD FE Alim'!$A$2:$N$60,2,0),0)</f>
        <v>0</v>
      </c>
      <c r="E23" s="163"/>
      <c r="F23" s="118"/>
      <c r="G23" s="118"/>
      <c r="H23" s="123">
        <f>IFERROR(IF(OR(C23="Mix sandwichs carnés",C23="Mix sandwichs végés"), (0.3*IF(G23="Oui",(VLOOKUP(C23,'BDD FE Alim'!$A$3:$M$60,12,FALSE)*E23-IF(F23="Non",VLOOKUP(C23,'BDD FE Alim'!$A$3:$M$60,7,FALSE))*E23)*10^-3,(VLOOKUP(C23,'BDD FE Alim'!$A$3:$M$60,11,FALSE)*E23-IF(F23="Non",VLOOKUP(C23,'BDD FE Alim'!$A$3:$M$60,7,FALSE)*E23))*10^-3)),IF(G23="Oui",(VLOOKUP(C23,'BDD FE Alim'!$A$3:$M$60,12,FALSE)*E23-IF(F23="Non",VLOOKUP(C23,'BDD FE Alim'!$A$3:$M$60,7,FALSE))*E23)*10^-3,(VLOOKUP(C23,'BDD FE Alim'!$A$3:$M$60,11,FALSE)*E23-IF(F23="Non",VLOOKUP(C23,'BDD FE Alim'!$A$3:$M$60,7,FALSE)*E23))*10^-3)),0)</f>
        <v>0</v>
      </c>
      <c r="I23" s="125"/>
      <c r="J23" s="633"/>
      <c r="K23" s="634"/>
      <c r="L23" s="635"/>
    </row>
    <row r="24" spans="1:12" ht="12.5">
      <c r="A24" s="340" t="s">
        <v>11</v>
      </c>
      <c r="B24" s="124"/>
      <c r="C24" s="118"/>
      <c r="D24" s="234">
        <f>IFERROR(VLOOKUP(C24,'BDD FE Alim'!$A$2:$N$60,2,0),0)</f>
        <v>0</v>
      </c>
      <c r="E24" s="163"/>
      <c r="F24" s="118"/>
      <c r="G24" s="118"/>
      <c r="H24" s="123">
        <f>IFERROR(IF(OR(C24="Mix sandwichs carnés",C24="Mix sandwichs végés"), (0.3*IF(G24="Oui",(VLOOKUP(C24,'BDD FE Alim'!$A$3:$M$60,12,FALSE)*E24-IF(F24="Non",VLOOKUP(C24,'BDD FE Alim'!$A$3:$M$60,7,FALSE))*E24)*10^-3,(VLOOKUP(C24,'BDD FE Alim'!$A$3:$M$60,11,FALSE)*E24-IF(F24="Non",VLOOKUP(C24,'BDD FE Alim'!$A$3:$M$60,7,FALSE)*E24))*10^-3)),IF(G24="Oui",(VLOOKUP(C24,'BDD FE Alim'!$A$3:$M$60,12,FALSE)*E24-IF(F24="Non",VLOOKUP(C24,'BDD FE Alim'!$A$3:$M$60,7,FALSE))*E24)*10^-3,(VLOOKUP(C24,'BDD FE Alim'!$A$3:$M$60,11,FALSE)*E24-IF(F24="Non",VLOOKUP(C24,'BDD FE Alim'!$A$3:$M$60,7,FALSE)*E24))*10^-3)),0)</f>
        <v>0</v>
      </c>
      <c r="I24" s="125"/>
      <c r="J24" s="633"/>
      <c r="K24" s="634"/>
      <c r="L24" s="635"/>
    </row>
    <row r="25" spans="1:12" ht="12.5">
      <c r="A25" s="340" t="s">
        <v>13</v>
      </c>
      <c r="B25" s="124"/>
      <c r="C25" s="118"/>
      <c r="D25" s="234">
        <f>IFERROR(VLOOKUP(C25,'BDD FE Alim'!$A$2:$N$60,2,0),0)</f>
        <v>0</v>
      </c>
      <c r="E25" s="163"/>
      <c r="F25" s="118"/>
      <c r="G25" s="118"/>
      <c r="H25" s="123">
        <f>IFERROR(IF(OR(C25="Mix sandwichs carnés",C25="Mix sandwichs végés"), (0.3*IF(G25="Oui",(VLOOKUP(C25,'BDD FE Alim'!$A$3:$M$60,12,FALSE)*E25-IF(F25="Non",VLOOKUP(C25,'BDD FE Alim'!$A$3:$M$60,7,FALSE))*E25)*10^-3,(VLOOKUP(C25,'BDD FE Alim'!$A$3:$M$60,11,FALSE)*E25-IF(F25="Non",VLOOKUP(C25,'BDD FE Alim'!$A$3:$M$60,7,FALSE)*E25))*10^-3)),IF(G25="Oui",(VLOOKUP(C25,'BDD FE Alim'!$A$3:$M$60,12,FALSE)*E25-IF(F25="Non",VLOOKUP(C25,'BDD FE Alim'!$A$3:$M$60,7,FALSE))*E25)*10^-3,(VLOOKUP(C25,'BDD FE Alim'!$A$3:$M$60,11,FALSE)*E25-IF(F25="Non",VLOOKUP(C25,'BDD FE Alim'!$A$3:$M$60,7,FALSE)*E25))*10^-3)),0)</f>
        <v>0</v>
      </c>
      <c r="I25" s="125"/>
      <c r="J25" s="633"/>
      <c r="K25" s="634"/>
      <c r="L25" s="635"/>
    </row>
    <row r="26" spans="1:12">
      <c r="B26" s="124"/>
      <c r="C26" s="118"/>
      <c r="D26" s="234">
        <f>IFERROR(VLOOKUP(C26,'BDD FE Alim'!$A$2:$N$60,2,0),0)</f>
        <v>0</v>
      </c>
      <c r="E26" s="163"/>
      <c r="F26" s="118"/>
      <c r="G26" s="118"/>
      <c r="H26" s="123">
        <f>IFERROR(IF(OR(C26="Mix sandwichs carnés",C26="Mix sandwichs végés"), (0.3*IF(G26="Oui",(VLOOKUP(C26,'BDD FE Alim'!$A$3:$M$60,12,FALSE)*E26-IF(F26="Non",VLOOKUP(C26,'BDD FE Alim'!$A$3:$M$60,7,FALSE))*E26)*10^-3,(VLOOKUP(C26,'BDD FE Alim'!$A$3:$M$60,11,FALSE)*E26-IF(F26="Non",VLOOKUP(C26,'BDD FE Alim'!$A$3:$M$60,7,FALSE)*E26))*10^-3)),IF(G26="Oui",(VLOOKUP(C26,'BDD FE Alim'!$A$3:$M$60,12,FALSE)*E26-IF(F26="Non",VLOOKUP(C26,'BDD FE Alim'!$A$3:$M$60,7,FALSE))*E26)*10^-3,(VLOOKUP(C26,'BDD FE Alim'!$A$3:$M$60,11,FALSE)*E26-IF(F26="Non",VLOOKUP(C26,'BDD FE Alim'!$A$3:$M$60,7,FALSE)*E26))*10^-3)),0)</f>
        <v>0</v>
      </c>
      <c r="I26" s="125"/>
      <c r="J26" s="639"/>
      <c r="K26" s="640"/>
      <c r="L26" s="641"/>
    </row>
    <row r="27" spans="1:12">
      <c r="B27" s="124"/>
      <c r="C27" s="118"/>
      <c r="D27" s="234">
        <f>IFERROR(VLOOKUP(C27,'BDD FE Alim'!$A$2:$N$60,2,0),0)</f>
        <v>0</v>
      </c>
      <c r="E27" s="163"/>
      <c r="F27" s="118"/>
      <c r="G27" s="118"/>
      <c r="H27" s="123">
        <f>IFERROR(IF(OR(C27="Mix sandwichs carnés",C27="Mix sandwichs végés"), (0.3*IF(G27="Oui",(VLOOKUP(C27,'BDD FE Alim'!$A$3:$M$60,12,FALSE)*E27-IF(F27="Non",VLOOKUP(C27,'BDD FE Alim'!$A$3:$M$60,7,FALSE))*E27)*10^-3,(VLOOKUP(C27,'BDD FE Alim'!$A$3:$M$60,11,FALSE)*E27-IF(F27="Non",VLOOKUP(C27,'BDD FE Alim'!$A$3:$M$60,7,FALSE)*E27))*10^-3)),IF(G27="Oui",(VLOOKUP(C27,'BDD FE Alim'!$A$3:$M$60,12,FALSE)*E27-IF(F27="Non",VLOOKUP(C27,'BDD FE Alim'!$A$3:$M$60,7,FALSE))*E27)*10^-3,(VLOOKUP(C27,'BDD FE Alim'!$A$3:$M$60,11,FALSE)*E27-IF(F27="Non",VLOOKUP(C27,'BDD FE Alim'!$A$3:$M$60,7,FALSE)*E27))*10^-3)),0)</f>
        <v>0</v>
      </c>
      <c r="I27" s="125"/>
      <c r="J27" s="613" t="s">
        <v>3459</v>
      </c>
      <c r="K27" s="614"/>
      <c r="L27" s="615"/>
    </row>
    <row r="28" spans="1:12">
      <c r="B28" s="124"/>
      <c r="C28" s="118"/>
      <c r="D28" s="234">
        <f>IFERROR(VLOOKUP(C28,'BDD FE Alim'!$A$2:$N$60,2,0),0)</f>
        <v>0</v>
      </c>
      <c r="E28" s="163"/>
      <c r="F28" s="118"/>
      <c r="G28" s="118"/>
      <c r="H28" s="123">
        <f>IFERROR(IF(OR(C28="Mix sandwichs carnés",C28="Mix sandwichs végés"), (0.3*IF(G28="Oui",(VLOOKUP(C28,'BDD FE Alim'!$A$3:$M$60,12,FALSE)*E28-IF(F28="Non",VLOOKUP(C28,'BDD FE Alim'!$A$3:$M$60,7,FALSE))*E28)*10^-3,(VLOOKUP(C28,'BDD FE Alim'!$A$3:$M$60,11,FALSE)*E28-IF(F28="Non",VLOOKUP(C28,'BDD FE Alim'!$A$3:$M$60,7,FALSE)*E28))*10^-3)),IF(G28="Oui",(VLOOKUP(C28,'BDD FE Alim'!$A$3:$M$60,12,FALSE)*E28-IF(F28="Non",VLOOKUP(C28,'BDD FE Alim'!$A$3:$M$60,7,FALSE))*E28)*10^-3,(VLOOKUP(C28,'BDD FE Alim'!$A$3:$M$60,11,FALSE)*E28-IF(F28="Non",VLOOKUP(C28,'BDD FE Alim'!$A$3:$M$60,7,FALSE)*E28))*10^-3)),0)</f>
        <v>0</v>
      </c>
      <c r="I28" s="125"/>
      <c r="J28" s="633" t="s">
        <v>3957</v>
      </c>
      <c r="K28" s="634"/>
      <c r="L28" s="635"/>
    </row>
    <row r="29" spans="1:12">
      <c r="B29" s="124"/>
      <c r="C29" s="118"/>
      <c r="D29" s="234">
        <f>IFERROR(VLOOKUP(C29,'BDD FE Alim'!$A$2:$N$60,2,0),0)</f>
        <v>0</v>
      </c>
      <c r="E29" s="163"/>
      <c r="F29" s="118"/>
      <c r="G29" s="118"/>
      <c r="H29" s="123">
        <f>IFERROR(IF(OR(C29="Mix sandwichs carnés",C29="Mix sandwichs végés"), (0.3*IF(G29="Oui",(VLOOKUP(C29,'BDD FE Alim'!$A$3:$M$60,12,FALSE)*E29-IF(F29="Non",VLOOKUP(C29,'BDD FE Alim'!$A$3:$M$60,7,FALSE))*E29)*10^-3,(VLOOKUP(C29,'BDD FE Alim'!$A$3:$M$60,11,FALSE)*E29-IF(F29="Non",VLOOKUP(C29,'BDD FE Alim'!$A$3:$M$60,7,FALSE)*E29))*10^-3)),IF(G29="Oui",(VLOOKUP(C29,'BDD FE Alim'!$A$3:$M$60,12,FALSE)*E29-IF(F29="Non",VLOOKUP(C29,'BDD FE Alim'!$A$3:$M$60,7,FALSE))*E29)*10^-3,(VLOOKUP(C29,'BDD FE Alim'!$A$3:$M$60,11,FALSE)*E29-IF(F29="Non",VLOOKUP(C29,'BDD FE Alim'!$A$3:$M$60,7,FALSE)*E29))*10^-3)),0)</f>
        <v>0</v>
      </c>
      <c r="I29" s="125"/>
      <c r="J29" s="633"/>
      <c r="K29" s="634"/>
      <c r="L29" s="635"/>
    </row>
    <row r="30" spans="1:12">
      <c r="B30" s="124"/>
      <c r="C30" s="118"/>
      <c r="D30" s="234">
        <f>IFERROR(VLOOKUP(C30,'BDD FE Alim'!$A$2:$N$60,2,0),0)</f>
        <v>0</v>
      </c>
      <c r="E30" s="163"/>
      <c r="F30" s="118"/>
      <c r="G30" s="118"/>
      <c r="H30" s="123">
        <f>IFERROR(IF(OR(C30="Mix sandwichs carnés",C30="Mix sandwichs végés"), (0.3*IF(G30="Oui",(VLOOKUP(C30,'BDD FE Alim'!$A$3:$M$60,12,FALSE)*E30-IF(F30="Non",VLOOKUP(C30,'BDD FE Alim'!$A$3:$M$60,7,FALSE))*E30)*10^-3,(VLOOKUP(C30,'BDD FE Alim'!$A$3:$M$60,11,FALSE)*E30-IF(F30="Non",VLOOKUP(C30,'BDD FE Alim'!$A$3:$M$60,7,FALSE)*E30))*10^-3)),IF(G30="Oui",(VLOOKUP(C30,'BDD FE Alim'!$A$3:$M$60,12,FALSE)*E30-IF(F30="Non",VLOOKUP(C30,'BDD FE Alim'!$A$3:$M$60,7,FALSE))*E30)*10^-3,(VLOOKUP(C30,'BDD FE Alim'!$A$3:$M$60,11,FALSE)*E30-IF(F30="Non",VLOOKUP(C30,'BDD FE Alim'!$A$3:$M$60,7,FALSE)*E30))*10^-3)),0)</f>
        <v>0</v>
      </c>
      <c r="I30" s="125"/>
      <c r="J30" s="633"/>
      <c r="K30" s="634"/>
      <c r="L30" s="635"/>
    </row>
    <row r="31" spans="1:12">
      <c r="B31" s="124"/>
      <c r="C31" s="118"/>
      <c r="D31" s="234">
        <f>IFERROR(VLOOKUP(C31,'BDD FE Alim'!$A$2:$N$60,2,0),0)</f>
        <v>0</v>
      </c>
      <c r="E31" s="163"/>
      <c r="F31" s="118"/>
      <c r="G31" s="118"/>
      <c r="H31" s="123">
        <f>IFERROR(IF(OR(C31="Mix sandwichs carnés",C31="Mix sandwichs végés"), (0.3*IF(G31="Oui",(VLOOKUP(C31,'BDD FE Alim'!$A$3:$M$60,12,FALSE)*E31-IF(F31="Non",VLOOKUP(C31,'BDD FE Alim'!$A$3:$M$60,7,FALSE))*E31)*10^-3,(VLOOKUP(C31,'BDD FE Alim'!$A$3:$M$60,11,FALSE)*E31-IF(F31="Non",VLOOKUP(C31,'BDD FE Alim'!$A$3:$M$60,7,FALSE)*E31))*10^-3)),IF(G31="Oui",(VLOOKUP(C31,'BDD FE Alim'!$A$3:$M$60,12,FALSE)*E31-IF(F31="Non",VLOOKUP(C31,'BDD FE Alim'!$A$3:$M$60,7,FALSE))*E31)*10^-3,(VLOOKUP(C31,'BDD FE Alim'!$A$3:$M$60,11,FALSE)*E31-IF(F31="Non",VLOOKUP(C31,'BDD FE Alim'!$A$3:$M$60,7,FALSE)*E31))*10^-3)),0)</f>
        <v>0</v>
      </c>
      <c r="I31" s="125"/>
      <c r="J31" s="633"/>
      <c r="K31" s="634"/>
      <c r="L31" s="635"/>
    </row>
    <row r="32" spans="1:12">
      <c r="B32" s="124"/>
      <c r="C32" s="118"/>
      <c r="D32" s="234">
        <f>IFERROR(VLOOKUP(C32,'BDD FE Alim'!$A$2:$N$60,2,0),0)</f>
        <v>0</v>
      </c>
      <c r="E32" s="163"/>
      <c r="F32" s="118"/>
      <c r="G32" s="118"/>
      <c r="H32" s="123">
        <f>IFERROR(IF(OR(C32="Mix sandwichs carnés",C32="Mix sandwichs végés"), (0.3*IF(G32="Oui",(VLOOKUP(C32,'BDD FE Alim'!$A$3:$M$60,12,FALSE)*E32-IF(F32="Non",VLOOKUP(C32,'BDD FE Alim'!$A$3:$M$60,7,FALSE))*E32)*10^-3,(VLOOKUP(C32,'BDD FE Alim'!$A$3:$M$60,11,FALSE)*E32-IF(F32="Non",VLOOKUP(C32,'BDD FE Alim'!$A$3:$M$60,7,FALSE)*E32))*10^-3)),IF(G32="Oui",(VLOOKUP(C32,'BDD FE Alim'!$A$3:$M$60,12,FALSE)*E32-IF(F32="Non",VLOOKUP(C32,'BDD FE Alim'!$A$3:$M$60,7,FALSE))*E32)*10^-3,(VLOOKUP(C32,'BDD FE Alim'!$A$3:$M$60,11,FALSE)*E32-IF(F32="Non",VLOOKUP(C32,'BDD FE Alim'!$A$3:$M$60,7,FALSE)*E32))*10^-3)),0)</f>
        <v>0</v>
      </c>
      <c r="I32" s="125"/>
      <c r="J32" s="633"/>
      <c r="K32" s="634"/>
      <c r="L32" s="635"/>
    </row>
    <row r="33" spans="2:12">
      <c r="B33" s="124"/>
      <c r="C33" s="118"/>
      <c r="D33" s="234">
        <f>IFERROR(VLOOKUP(C33,'BDD FE Alim'!$A$2:$N$60,2,0),0)</f>
        <v>0</v>
      </c>
      <c r="E33" s="163"/>
      <c r="F33" s="118"/>
      <c r="G33" s="118"/>
      <c r="H33" s="123">
        <f>IFERROR(IF(OR(C33="Mix sandwichs carnés",C33="Mix sandwichs végés"), (0.3*IF(G33="Oui",(VLOOKUP(C33,'BDD FE Alim'!$A$3:$M$60,12,FALSE)*E33-IF(F33="Non",VLOOKUP(C33,'BDD FE Alim'!$A$3:$M$60,7,FALSE))*E33)*10^-3,(VLOOKUP(C33,'BDD FE Alim'!$A$3:$M$60,11,FALSE)*E33-IF(F33="Non",VLOOKUP(C33,'BDD FE Alim'!$A$3:$M$60,7,FALSE)*E33))*10^-3)),IF(G33="Oui",(VLOOKUP(C33,'BDD FE Alim'!$A$3:$M$60,12,FALSE)*E33-IF(F33="Non",VLOOKUP(C33,'BDD FE Alim'!$A$3:$M$60,7,FALSE))*E33)*10^-3,(VLOOKUP(C33,'BDD FE Alim'!$A$3:$M$60,11,FALSE)*E33-IF(F33="Non",VLOOKUP(C33,'BDD FE Alim'!$A$3:$M$60,7,FALSE)*E33))*10^-3)),0)</f>
        <v>0</v>
      </c>
      <c r="I33" s="125"/>
      <c r="J33" s="633"/>
      <c r="K33" s="634"/>
      <c r="L33" s="635"/>
    </row>
    <row r="34" spans="2:12">
      <c r="B34" s="124"/>
      <c r="D34" s="111"/>
      <c r="H34" s="123">
        <f>SUM(H10:H33)</f>
        <v>0</v>
      </c>
      <c r="I34" s="125"/>
      <c r="J34" s="633"/>
      <c r="K34" s="634"/>
      <c r="L34" s="635"/>
    </row>
    <row r="35" spans="2:12" collapsed="1">
      <c r="B35" s="124"/>
      <c r="D35" s="111"/>
      <c r="I35" s="125"/>
      <c r="J35" s="633"/>
      <c r="K35" s="634"/>
      <c r="L35" s="635"/>
    </row>
    <row r="36" spans="2:12">
      <c r="B36" s="124"/>
      <c r="D36" s="111"/>
      <c r="I36" s="125"/>
      <c r="J36" s="633"/>
      <c r="K36" s="634"/>
      <c r="L36" s="635"/>
    </row>
    <row r="37" spans="2:12">
      <c r="B37" s="124"/>
      <c r="C37" s="627" t="s">
        <v>164</v>
      </c>
      <c r="D37" s="628"/>
      <c r="E37" s="628"/>
      <c r="F37" s="628"/>
      <c r="G37" s="628"/>
      <c r="I37" s="125"/>
      <c r="J37" s="633"/>
      <c r="K37" s="634"/>
      <c r="L37" s="635"/>
    </row>
    <row r="38" spans="2:12" ht="50">
      <c r="B38" s="124"/>
      <c r="C38" s="131" t="s">
        <v>3371</v>
      </c>
      <c r="D38" s="163"/>
      <c r="E38" s="117" t="s">
        <v>3372</v>
      </c>
      <c r="F38" s="189"/>
      <c r="I38" s="125"/>
      <c r="J38" s="633"/>
      <c r="K38" s="634"/>
      <c r="L38" s="635"/>
    </row>
    <row r="39" spans="2:12">
      <c r="B39" s="124"/>
      <c r="C39" s="130"/>
      <c r="I39" s="125"/>
      <c r="J39" s="633"/>
      <c r="K39" s="634"/>
      <c r="L39" s="635"/>
    </row>
    <row r="40" spans="2:12">
      <c r="B40" s="124"/>
      <c r="F40" s="117" t="s">
        <v>3377</v>
      </c>
      <c r="I40" s="125"/>
      <c r="J40" s="633"/>
      <c r="K40" s="634"/>
      <c r="L40" s="635"/>
    </row>
    <row r="41" spans="2:12">
      <c r="B41" s="124"/>
      <c r="I41" s="125"/>
      <c r="J41" s="633"/>
      <c r="K41" s="634"/>
      <c r="L41" s="635"/>
    </row>
    <row r="42" spans="2:12" ht="37.5">
      <c r="B42" s="124"/>
      <c r="C42" s="131" t="s">
        <v>169</v>
      </c>
      <c r="D42" s="521"/>
      <c r="F42" s="258">
        <f>(D38*F38*D42*'BDD FE Alim'!L45+D38*(1-F38)*D42*'BDD FE Alim'!K45)*10^-3</f>
        <v>0</v>
      </c>
      <c r="I42" s="125"/>
      <c r="J42" s="633"/>
      <c r="K42" s="634"/>
      <c r="L42" s="635"/>
    </row>
    <row r="43" spans="2:12">
      <c r="B43" s="124"/>
      <c r="C43" s="130"/>
      <c r="D43" s="111"/>
      <c r="I43" s="125"/>
      <c r="J43" s="633"/>
      <c r="K43" s="634"/>
      <c r="L43" s="635"/>
    </row>
    <row r="44" spans="2:12" ht="37.5">
      <c r="B44" s="124"/>
      <c r="C44" s="131" t="s">
        <v>170</v>
      </c>
      <c r="D44" s="189"/>
      <c r="F44" s="123">
        <f>(D38*F38*D44*'BDD FE Alim'!L44+D38*(1-F38)*D44*'BDD FE Alim'!K44)*10^-3</f>
        <v>0</v>
      </c>
      <c r="I44" s="125"/>
      <c r="J44" s="633"/>
      <c r="K44" s="634"/>
      <c r="L44" s="635"/>
    </row>
    <row r="45" spans="2:12">
      <c r="B45" s="124"/>
      <c r="C45" s="130"/>
      <c r="D45" s="111"/>
      <c r="I45" s="125"/>
      <c r="J45" s="633"/>
      <c r="K45" s="634"/>
      <c r="L45" s="635"/>
    </row>
    <row r="46" spans="2:12" ht="25">
      <c r="B46" s="124"/>
      <c r="C46" s="131" t="s">
        <v>171</v>
      </c>
      <c r="D46" s="189"/>
      <c r="F46" s="123">
        <f>(D38*F38*D46*(AVERAGE('BDD FE Alim'!L41:L62))+D38*(1-F38)*D46*(AVERAGE('BDD FE Alim'!K41:K62)))*10^-3</f>
        <v>0</v>
      </c>
      <c r="I46" s="125"/>
      <c r="J46" s="633"/>
      <c r="K46" s="634"/>
      <c r="L46" s="635"/>
    </row>
    <row r="47" spans="2:12">
      <c r="B47" s="124"/>
      <c r="C47" s="130"/>
      <c r="D47" s="111"/>
      <c r="I47" s="125"/>
      <c r="J47" s="633"/>
      <c r="K47" s="634"/>
      <c r="L47" s="635"/>
    </row>
    <row r="48" spans="2:12" ht="25">
      <c r="B48" s="124"/>
      <c r="C48" s="131" t="s">
        <v>172</v>
      </c>
      <c r="D48" s="189"/>
      <c r="F48" s="123">
        <f>(D38*F38*D48*'BDD FE Alim'!L43+D38*D48*(1-F38)*'BDD FE Alim'!K43)*10^-3</f>
        <v>0</v>
      </c>
      <c r="I48" s="125"/>
      <c r="J48" s="633"/>
      <c r="K48" s="634"/>
      <c r="L48" s="635"/>
    </row>
    <row r="49" spans="2:12">
      <c r="B49" s="124"/>
      <c r="C49" s="130"/>
      <c r="D49" s="111"/>
      <c r="I49" s="125"/>
      <c r="J49" s="633"/>
      <c r="K49" s="634"/>
      <c r="L49" s="635"/>
    </row>
    <row r="50" spans="2:12" ht="25">
      <c r="B50" s="124"/>
      <c r="C50" s="131" t="s">
        <v>173</v>
      </c>
      <c r="D50" s="189"/>
      <c r="F50" s="123">
        <f>(D38*F38*D50*'BDD FE Alim'!L42+D38*D50*(1-F38)*'BDD FE Alim'!K42)*10^-3</f>
        <v>0</v>
      </c>
      <c r="I50" s="125"/>
      <c r="J50" s="633"/>
      <c r="K50" s="634"/>
      <c r="L50" s="635"/>
    </row>
    <row r="51" spans="2:12" ht="15" thickBot="1">
      <c r="B51" s="124"/>
      <c r="I51" s="125"/>
      <c r="J51" s="633"/>
      <c r="K51" s="634"/>
      <c r="L51" s="635"/>
    </row>
    <row r="52" spans="2:12" ht="15" thickBot="1">
      <c r="B52" s="124"/>
      <c r="D52" s="111"/>
      <c r="E52" s="232" t="s">
        <v>174</v>
      </c>
      <c r="F52" s="259">
        <f>SUM(F42,F44,F46,F48,F50)</f>
        <v>0</v>
      </c>
      <c r="I52" s="125"/>
      <c r="J52" s="633"/>
      <c r="K52" s="634"/>
      <c r="L52" s="635"/>
    </row>
    <row r="53" spans="2:12" ht="15" thickBot="1">
      <c r="B53" s="124"/>
      <c r="I53" s="125"/>
      <c r="J53" s="636"/>
      <c r="K53" s="637"/>
      <c r="L53" s="638"/>
    </row>
    <row r="54" spans="2:12">
      <c r="B54" s="124"/>
      <c r="D54" s="111"/>
      <c r="I54" s="125"/>
      <c r="J54" s="145"/>
      <c r="L54" s="149"/>
    </row>
    <row r="55" spans="2:12">
      <c r="B55" s="124"/>
      <c r="D55" s="111"/>
      <c r="I55" s="125"/>
      <c r="J55" s="145"/>
      <c r="L55" s="149"/>
    </row>
    <row r="56" spans="2:12">
      <c r="B56" s="124"/>
      <c r="D56" s="111"/>
      <c r="I56" s="125"/>
      <c r="J56" s="145"/>
      <c r="L56" s="149"/>
    </row>
    <row r="57" spans="2:12">
      <c r="B57" s="124"/>
      <c r="I57" s="125"/>
      <c r="J57" s="145"/>
      <c r="L57" s="149"/>
    </row>
    <row r="58" spans="2:12" ht="15" thickBot="1">
      <c r="B58" s="136"/>
      <c r="C58" s="137"/>
      <c r="D58" s="233"/>
      <c r="E58" s="137"/>
      <c r="F58" s="137"/>
      <c r="G58" s="137"/>
      <c r="H58" s="137"/>
      <c r="I58" s="138"/>
      <c r="J58" s="150"/>
      <c r="K58" s="151"/>
      <c r="L58" s="152"/>
    </row>
    <row r="59" spans="2:12">
      <c r="D59" s="111"/>
      <c r="J59" s="111"/>
      <c r="K59" s="111"/>
      <c r="L59" s="111"/>
    </row>
    <row r="60" spans="2:12">
      <c r="J60" s="111"/>
      <c r="K60" s="111"/>
      <c r="L60" s="111"/>
    </row>
    <row r="61" spans="2:12" hidden="1">
      <c r="J61" s="111"/>
      <c r="K61" s="111"/>
      <c r="L61" s="111"/>
    </row>
    <row r="62" spans="2:12" hidden="1">
      <c r="J62" s="111"/>
      <c r="K62" s="111"/>
      <c r="L62" s="111"/>
    </row>
  </sheetData>
  <protectedRanges>
    <protectedRange sqref="F38 C10:C33 E10:G33 D38 D42:D50" name="Plage1"/>
    <protectedRange sqref="J3 J8:J11 J28:J32" name="Plage1_1"/>
  </protectedRanges>
  <mergeCells count="12">
    <mergeCell ref="A1:A2"/>
    <mergeCell ref="C37:G37"/>
    <mergeCell ref="B1:I1"/>
    <mergeCell ref="J1:L1"/>
    <mergeCell ref="C8:H8"/>
    <mergeCell ref="C4:H6"/>
    <mergeCell ref="J2:L2"/>
    <mergeCell ref="J3:L6"/>
    <mergeCell ref="J8:L26"/>
    <mergeCell ref="J27:L27"/>
    <mergeCell ref="J28:L53"/>
    <mergeCell ref="E2:F2"/>
  </mergeCells>
  <dataValidations count="1">
    <dataValidation type="list" allowBlank="1" showInputMessage="1" showErrorMessage="1" sqref="F10:G33" xr:uid="{00000000-0002-0000-0F00-000000000000}">
      <formula1>"Oui,Non"</formula1>
    </dataValidation>
  </dataValidations>
  <hyperlinks>
    <hyperlink ref="A6" location="'1_Votre Structure'!A1" display="Votre structure" xr:uid="{BA353807-3251-4206-B2FB-271B3B5E48BC}"/>
    <hyperlink ref="A7" location="'2_ConsoEnergieEau'!A1" display="Consommation d'énergie et d'eau" xr:uid="{445D2D33-AEE2-4784-86BF-CCAB84252FE9}"/>
    <hyperlink ref="A8" location="'3_Climatisation'!A1" display="Climatisation" xr:uid="{073C11E3-E74A-4C89-A59A-1488EC34481C}"/>
    <hyperlink ref="A12" location="'7_DéplacementsProfessionnels'!A1" display="Déplacements professionnels" xr:uid="{39736F8A-8497-42D7-B355-8B4A45F6C04C}"/>
    <hyperlink ref="A13" location="'8_DéplacementsSalariés'!A1" display="Déplacements des salariés" xr:uid="{32DA7BD5-8EB1-492A-B614-F92A66A4665C}"/>
    <hyperlink ref="A17" location="'12_Equipements'!A1" display="Equipements" xr:uid="{C1EB6046-6990-4630-AC96-27BCBD39B8F6}"/>
    <hyperlink ref="A10" location="'5_Déchets'!A1" display="Déchets" xr:uid="{E2BE0C8F-483C-46F9-B377-FE082943487B}"/>
    <hyperlink ref="A22" location="'17_TransportMatériel'!A1" display="Transport de matériel et d'œuvres" xr:uid="{D7446D8F-C07B-4C57-A014-18BE8631F387}"/>
    <hyperlink ref="A23" location="'18_ImpressionsComPapier'!A1" display="Impression et communication papier" xr:uid="{9307D303-61B5-4AAD-8D1A-88BEF0D101A2}"/>
    <hyperlink ref="A24" location="'19_ComDigitale'!A1" display="Communication digitale" xr:uid="{15457CB1-BB4B-41AE-AE64-864890BC3DA4}"/>
    <hyperlink ref="A25" location="'20_Billetterie'!A1" display="Billetterie" xr:uid="{79C9A939-D283-4D20-8B0E-89EB37487622}"/>
    <hyperlink ref="A20" location="'15_Alimentation'!A1" display="Alimentation" xr:uid="{5CB0B7E1-585B-408E-BA77-187901787A40}"/>
    <hyperlink ref="A14" location="'9_DéplacementsVisiteurs'!A1" display="Déplacements des visiteurs" xr:uid="{CAB03204-189C-4538-A4BC-E72CF5A378DF}"/>
    <hyperlink ref="A15" location="'10_Tournées artistiques'!A1" display="Tournées artistiques" xr:uid="{92906C68-A75A-4A75-85FD-CFA33DC6DD2F}"/>
    <hyperlink ref="A16" location="'11_Artistes invité.e.s'!A1" display="Artistes invité.e.s" xr:uid="{B9327C70-F480-4CFC-A7A6-2D3DAB149EF5}"/>
    <hyperlink ref="A9" location="'4_Bâtiments,travaux, agcmt'!A1" display="Bâtiments, travaux et agencements" xr:uid="{ED60EBE1-0AA8-4A4D-8CB0-5C30BD12B77D}"/>
    <hyperlink ref="A18" location="'13_Achats - Documents papiers'!A1" display="Achats - Documents papiers" xr:uid="{1CF0890C-425C-4013-AED2-B4C072DAD209}"/>
    <hyperlink ref="A21" location="'16_Autres achats (€)'!A1" display="Autres achats" xr:uid="{00483F4B-BCD2-428B-8159-098B9CEB5B37}"/>
    <hyperlink ref="A19" location="'14_Décors'!A1" display="Décors" xr:uid="{8822EEDF-A6FC-460A-8DE1-E0AB58BDED2C}"/>
    <hyperlink ref="A11" location="'6_DéplacementsPrestations'!A1" display="Déplacements de prestations" xr:uid="{348EED42-08CC-49F4-99F3-16DF1BF289B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'BDD FE Alim'!$A$3:$A$60</xm:f>
          </x14:formula1>
          <xm:sqref>C10:C33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8A86-1A14-4981-911A-48394B7D1C44}">
  <sheetPr>
    <tabColor theme="6" tint="0.79998168889431442"/>
  </sheetPr>
  <dimension ref="A1:M82"/>
  <sheetViews>
    <sheetView showGridLines="0" zoomScale="60" zoomScaleNormal="60" workbookViewId="0">
      <selection activeCell="C39" sqref="C39"/>
    </sheetView>
  </sheetViews>
  <sheetFormatPr baseColWidth="10" defaultColWidth="0" defaultRowHeight="14.5"/>
  <cols>
    <col min="1" max="1" width="25.81640625" bestFit="1" customWidth="1"/>
    <col min="2" max="2" width="12" style="112" customWidth="1"/>
    <col min="3" max="3" width="21.453125" style="112" customWidth="1"/>
    <col min="4" max="4" width="25.81640625" style="112" customWidth="1"/>
    <col min="5" max="5" width="23.08984375" style="112" customWidth="1"/>
    <col min="6" max="6" width="17" style="112" customWidth="1"/>
    <col min="7" max="7" width="21" style="112" customWidth="1"/>
    <col min="8" max="8" width="11.453125" style="112" customWidth="1"/>
    <col min="9" max="9" width="20.453125" style="112" customWidth="1"/>
    <col min="10" max="10" width="1.08984375" customWidth="1"/>
    <col min="11" max="11" width="20.453125" customWidth="1"/>
    <col min="12" max="12" width="11.1796875" customWidth="1"/>
    <col min="13" max="13" width="0" hidden="1" customWidth="1"/>
    <col min="14" max="16384" width="11.1796875" hidden="1"/>
  </cols>
  <sheetData>
    <row r="1" spans="1:12" ht="21.25" customHeight="1" thickBot="1">
      <c r="A1" s="337" t="s">
        <v>3358</v>
      </c>
      <c r="B1" s="550" t="s">
        <v>3440</v>
      </c>
      <c r="C1" s="623"/>
      <c r="D1" s="623"/>
      <c r="E1" s="623"/>
      <c r="F1" s="623"/>
      <c r="G1" s="623"/>
      <c r="H1" s="624"/>
      <c r="I1" s="598" t="s">
        <v>3391</v>
      </c>
      <c r="J1" s="599"/>
      <c r="K1" s="600"/>
    </row>
    <row r="2" spans="1:12" ht="18.5" customHeight="1" thickBot="1">
      <c r="A2" s="342" t="s">
        <v>3359</v>
      </c>
      <c r="B2" s="133"/>
      <c r="C2" s="134"/>
      <c r="D2" s="134"/>
      <c r="E2" s="504">
        <f>G31</f>
        <v>0</v>
      </c>
      <c r="F2" s="134"/>
      <c r="G2" s="134"/>
      <c r="H2" s="135"/>
      <c r="I2" s="610" t="s">
        <v>3457</v>
      </c>
      <c r="J2" s="611"/>
      <c r="K2" s="612"/>
    </row>
    <row r="3" spans="1:12">
      <c r="A3" s="338"/>
      <c r="B3" s="124"/>
      <c r="C3" s="111"/>
      <c r="D3" s="111"/>
      <c r="E3" s="111"/>
      <c r="F3" s="111"/>
      <c r="G3" s="111"/>
      <c r="H3" s="125"/>
      <c r="I3" s="331"/>
      <c r="J3" s="332"/>
      <c r="K3" s="333"/>
    </row>
    <row r="4" spans="1:12" ht="14.4" customHeight="1">
      <c r="A4" s="338"/>
      <c r="B4" s="124"/>
      <c r="C4" s="644" t="s">
        <v>3806</v>
      </c>
      <c r="D4" s="629"/>
      <c r="E4" s="629"/>
      <c r="F4" s="629"/>
      <c r="G4" s="629"/>
      <c r="H4" s="125"/>
      <c r="I4" s="331"/>
      <c r="J4" s="332"/>
      <c r="K4" s="333"/>
      <c r="L4" s="293"/>
    </row>
    <row r="5" spans="1:12">
      <c r="A5" s="338"/>
      <c r="B5" s="124"/>
      <c r="C5" s="629"/>
      <c r="D5" s="629"/>
      <c r="E5" s="629"/>
      <c r="F5" s="629"/>
      <c r="G5" s="629"/>
      <c r="H5" s="125"/>
      <c r="I5" s="331"/>
      <c r="J5" s="332"/>
      <c r="K5" s="333"/>
    </row>
    <row r="6" spans="1:12" ht="26.4" customHeight="1">
      <c r="A6" s="341" t="s">
        <v>3357</v>
      </c>
      <c r="B6" s="124"/>
      <c r="C6" s="629"/>
      <c r="D6" s="629"/>
      <c r="E6" s="629"/>
      <c r="F6" s="629"/>
      <c r="G6" s="629"/>
      <c r="H6" s="125"/>
      <c r="I6" s="331"/>
      <c r="J6" s="332"/>
      <c r="K6" s="333"/>
    </row>
    <row r="7" spans="1:12" ht="26.4" customHeight="1">
      <c r="A7" s="339" t="s">
        <v>3434</v>
      </c>
      <c r="B7" s="124"/>
      <c r="C7" s="629"/>
      <c r="D7" s="629"/>
      <c r="E7" s="629"/>
      <c r="F7" s="629"/>
      <c r="G7" s="629"/>
      <c r="H7" s="125"/>
      <c r="I7" s="610" t="s">
        <v>3458</v>
      </c>
      <c r="J7" s="611"/>
      <c r="K7" s="612"/>
    </row>
    <row r="8" spans="1:12" ht="26.4" customHeight="1">
      <c r="A8" s="339" t="s">
        <v>7</v>
      </c>
      <c r="B8" s="124"/>
      <c r="C8" s="629"/>
      <c r="D8" s="629"/>
      <c r="E8" s="629"/>
      <c r="F8" s="629"/>
      <c r="G8" s="629"/>
      <c r="H8" s="125"/>
      <c r="I8" s="331"/>
      <c r="J8" s="332"/>
      <c r="K8" s="333"/>
    </row>
    <row r="9" spans="1:12" ht="26.4" customHeight="1">
      <c r="A9" s="339" t="s">
        <v>3427</v>
      </c>
      <c r="B9" s="124"/>
      <c r="C9" s="629"/>
      <c r="D9" s="629"/>
      <c r="E9" s="629"/>
      <c r="F9" s="629"/>
      <c r="G9" s="629"/>
      <c r="H9" s="125"/>
      <c r="I9" s="331"/>
      <c r="J9" s="332"/>
      <c r="K9" s="333"/>
    </row>
    <row r="10" spans="1:12" ht="26.4" customHeight="1">
      <c r="A10" s="340" t="s">
        <v>10</v>
      </c>
      <c r="B10" s="124"/>
      <c r="C10" s="629"/>
      <c r="D10" s="629"/>
      <c r="E10" s="629"/>
      <c r="F10" s="629"/>
      <c r="G10" s="629"/>
      <c r="H10" s="125"/>
      <c r="I10" s="331"/>
      <c r="J10" s="332"/>
      <c r="K10" s="333"/>
    </row>
    <row r="11" spans="1:12">
      <c r="A11" s="340" t="s">
        <v>3645</v>
      </c>
      <c r="B11" s="124"/>
      <c r="C11" s="299"/>
      <c r="D11" s="299"/>
      <c r="E11" s="299"/>
      <c r="F11" s="299"/>
      <c r="G11" s="299"/>
      <c r="H11" s="125"/>
      <c r="I11" s="331"/>
      <c r="J11" s="332"/>
      <c r="K11" s="333"/>
    </row>
    <row r="12" spans="1:12" ht="25">
      <c r="A12" s="339" t="s">
        <v>3431</v>
      </c>
      <c r="B12" s="127"/>
      <c r="C12" s="289" t="s">
        <v>3411</v>
      </c>
      <c r="D12" s="289" t="s">
        <v>3353</v>
      </c>
      <c r="E12" s="289" t="s">
        <v>3568</v>
      </c>
      <c r="F12" s="289" t="s">
        <v>3423</v>
      </c>
      <c r="G12" s="117" t="s">
        <v>80</v>
      </c>
      <c r="H12" s="125"/>
      <c r="I12" s="331"/>
      <c r="J12" s="332"/>
      <c r="K12" s="333"/>
    </row>
    <row r="13" spans="1:12">
      <c r="A13" s="340" t="s">
        <v>5</v>
      </c>
      <c r="B13" s="127"/>
      <c r="C13" s="165"/>
      <c r="D13" s="297"/>
      <c r="E13" s="297"/>
      <c r="F13" s="298"/>
      <c r="G13" s="132">
        <f>IFERROR(F13*10^-3*VLOOKUP(C13,'BDD FE'!$B$593:$C$652,2,FALSE)*10^-3,0)</f>
        <v>0</v>
      </c>
      <c r="H13" s="125"/>
      <c r="I13" s="334"/>
      <c r="J13" s="335"/>
      <c r="K13" s="336"/>
    </row>
    <row r="14" spans="1:12">
      <c r="A14" s="339" t="s">
        <v>6</v>
      </c>
      <c r="B14" s="127"/>
      <c r="C14" s="165"/>
      <c r="D14" s="297"/>
      <c r="E14" s="297"/>
      <c r="F14" s="298"/>
      <c r="G14" s="132">
        <f>IFERROR(F14*10^-3*VLOOKUP(C14,'BDD FE'!$B$593:$C$652,2,FALSE)*10^-3,0)</f>
        <v>0</v>
      </c>
      <c r="H14" s="125"/>
      <c r="I14" s="613" t="s">
        <v>3459</v>
      </c>
      <c r="J14" s="614"/>
      <c r="K14" s="615"/>
    </row>
    <row r="15" spans="1:12">
      <c r="A15" s="340" t="s">
        <v>12</v>
      </c>
      <c r="B15" s="127"/>
      <c r="C15" s="165"/>
      <c r="D15" s="297"/>
      <c r="E15" s="297"/>
      <c r="F15" s="298"/>
      <c r="G15" s="132">
        <f>IFERROR(F15*10^-3*VLOOKUP(C15,'BDD FE'!$B$593:$C$652,2,FALSE)*10^-3,0)</f>
        <v>0</v>
      </c>
      <c r="H15" s="125"/>
      <c r="I15" s="633"/>
      <c r="J15" s="634"/>
      <c r="K15" s="635"/>
    </row>
    <row r="16" spans="1:12">
      <c r="A16" s="340" t="s">
        <v>14</v>
      </c>
      <c r="B16" s="127"/>
      <c r="C16" s="165"/>
      <c r="D16" s="297"/>
      <c r="E16" s="297"/>
      <c r="F16" s="298"/>
      <c r="G16" s="132">
        <f>IFERROR(F16*10^-3*VLOOKUP(C16,'BDD FE'!$B$593:$C$652,2,FALSE)*10^-3,0)</f>
        <v>0</v>
      </c>
      <c r="H16" s="125"/>
      <c r="I16" s="633"/>
      <c r="J16" s="634"/>
      <c r="K16" s="635"/>
    </row>
    <row r="17" spans="1:11">
      <c r="A17" s="339" t="s">
        <v>3426</v>
      </c>
      <c r="B17" s="127"/>
      <c r="C17" s="165"/>
      <c r="D17" s="164"/>
      <c r="E17" s="164"/>
      <c r="F17" s="298"/>
      <c r="G17" s="132">
        <f>IFERROR(F17*10^-3*VLOOKUP(C17,'BDD FE'!$B$593:$C$652,2,FALSE)*10^-3,0)</f>
        <v>0</v>
      </c>
      <c r="H17" s="125"/>
      <c r="I17" s="633"/>
      <c r="J17" s="634"/>
      <c r="K17" s="635"/>
    </row>
    <row r="18" spans="1:11">
      <c r="A18" s="340" t="s">
        <v>3918</v>
      </c>
      <c r="B18" s="127"/>
      <c r="C18" s="165"/>
      <c r="D18" s="164"/>
      <c r="E18" s="164"/>
      <c r="F18" s="298"/>
      <c r="G18" s="132">
        <f>IFERROR(F18*10^-3*VLOOKUP(C18,'BDD FE'!$B$593:$C$652,2,FALSE)*10^-3,0)</f>
        <v>0</v>
      </c>
      <c r="H18" s="125"/>
      <c r="I18" s="633"/>
      <c r="J18" s="634"/>
      <c r="K18" s="635"/>
    </row>
    <row r="19" spans="1:11">
      <c r="A19" s="340" t="s">
        <v>3436</v>
      </c>
      <c r="B19" s="127"/>
      <c r="C19" s="165"/>
      <c r="D19" s="164"/>
      <c r="E19" s="164"/>
      <c r="F19" s="298"/>
      <c r="G19" s="132">
        <f>IFERROR(F19*10^-3*VLOOKUP(C19,'BDD FE'!$B$593:$C$652,2,FALSE)*10^-3,0)</f>
        <v>0</v>
      </c>
      <c r="H19" s="125"/>
      <c r="I19" s="633"/>
      <c r="J19" s="634"/>
      <c r="K19" s="635"/>
    </row>
    <row r="20" spans="1:11">
      <c r="A20" s="340" t="s">
        <v>3378</v>
      </c>
      <c r="B20" s="127"/>
      <c r="C20" s="165"/>
      <c r="D20" s="164"/>
      <c r="E20" s="164"/>
      <c r="F20" s="298"/>
      <c r="G20" s="132">
        <f>IFERROR(F20*10^-3*VLOOKUP(C20,'BDD FE'!$B$593:$C$652,2,FALSE)*10^-3,0)</f>
        <v>0</v>
      </c>
      <c r="H20" s="125"/>
      <c r="I20" s="633"/>
      <c r="J20" s="634"/>
      <c r="K20" s="635"/>
    </row>
    <row r="21" spans="1:11">
      <c r="A21" s="339" t="s">
        <v>3430</v>
      </c>
      <c r="B21" s="127"/>
      <c r="C21" s="165"/>
      <c r="D21" s="164"/>
      <c r="E21" s="164"/>
      <c r="F21" s="298"/>
      <c r="G21" s="132">
        <f>IFERROR(F21*10^-3*VLOOKUP(C21,'BDD FE'!$B$593:$C$652,2,FALSE)*10^-3,0)</f>
        <v>0</v>
      </c>
      <c r="H21" s="125"/>
      <c r="I21" s="633"/>
      <c r="J21" s="634"/>
      <c r="K21" s="635"/>
    </row>
    <row r="22" spans="1:11">
      <c r="A22" s="340" t="s">
        <v>3433</v>
      </c>
      <c r="B22" s="127"/>
      <c r="C22" s="165"/>
      <c r="D22" s="164"/>
      <c r="E22" s="164"/>
      <c r="F22" s="298"/>
      <c r="G22" s="132">
        <f>IFERROR(F22*10^-3*VLOOKUP(C22,'BDD FE'!$B$593:$C$652,2,FALSE)*10^-3,0)</f>
        <v>0</v>
      </c>
      <c r="H22" s="125"/>
      <c r="I22" s="633"/>
      <c r="J22" s="634"/>
      <c r="K22" s="635"/>
    </row>
    <row r="23" spans="1:11" ht="15" thickBot="1">
      <c r="A23" s="340" t="s">
        <v>3428</v>
      </c>
      <c r="B23" s="127"/>
      <c r="C23" s="165"/>
      <c r="D23" s="164"/>
      <c r="E23" s="164"/>
      <c r="F23" s="298"/>
      <c r="G23" s="132">
        <f>IFERROR(F23*10^-3*VLOOKUP(C23,'BDD FE'!$B$593:$C$652,2,FALSE)*10^-3,0)</f>
        <v>0</v>
      </c>
      <c r="H23" s="125"/>
      <c r="I23" s="636"/>
      <c r="J23" s="637"/>
      <c r="K23" s="638"/>
    </row>
    <row r="24" spans="1:11">
      <c r="A24" s="340" t="s">
        <v>11</v>
      </c>
      <c r="B24" s="127"/>
      <c r="C24" s="165"/>
      <c r="D24" s="164"/>
      <c r="E24" s="164"/>
      <c r="F24" s="298"/>
      <c r="G24" s="132">
        <f>IFERROR(F24*10^-3*VLOOKUP(C24,'BDD FE'!$B$593:$C$652,2,FALSE)*10^-3,0)</f>
        <v>0</v>
      </c>
      <c r="H24" s="125"/>
      <c r="I24" s="324"/>
      <c r="J24" s="325"/>
      <c r="K24" s="166"/>
    </row>
    <row r="25" spans="1:11">
      <c r="A25" s="340" t="s">
        <v>13</v>
      </c>
      <c r="B25" s="127"/>
      <c r="C25" s="165"/>
      <c r="D25" s="164"/>
      <c r="E25" s="164"/>
      <c r="F25" s="298"/>
      <c r="G25" s="132">
        <f>IFERROR(F25*10^-3*VLOOKUP(C25,'BDD FE'!$B$593:$C$652,2,FALSE)*10^-3,0)</f>
        <v>0</v>
      </c>
      <c r="H25" s="125"/>
      <c r="I25" s="145"/>
      <c r="K25" s="149"/>
    </row>
    <row r="26" spans="1:11">
      <c r="B26" s="127"/>
      <c r="C26" s="165"/>
      <c r="D26" s="164"/>
      <c r="E26" s="164"/>
      <c r="F26" s="298"/>
      <c r="G26" s="132">
        <f>IFERROR(F26*10^-3*VLOOKUP(C26,'BDD FE'!$B$593:$C$652,2,FALSE)*10^-3,0)</f>
        <v>0</v>
      </c>
      <c r="H26" s="125"/>
      <c r="I26" s="145"/>
      <c r="K26" s="149"/>
    </row>
    <row r="27" spans="1:11" ht="21.25" customHeight="1">
      <c r="B27" s="127"/>
      <c r="C27" s="165"/>
      <c r="D27" s="164"/>
      <c r="E27" s="164"/>
      <c r="F27" s="298"/>
      <c r="G27" s="132">
        <f>IFERROR(F27*10^-3*VLOOKUP(C27,'BDD FE'!$B$593:$C$652,2,FALSE)*10^-3,0)</f>
        <v>0</v>
      </c>
      <c r="H27" s="125"/>
      <c r="I27" s="145"/>
      <c r="K27" s="149"/>
    </row>
    <row r="28" spans="1:11" ht="21.25" customHeight="1">
      <c r="B28" s="127"/>
      <c r="C28" s="165"/>
      <c r="D28" s="164"/>
      <c r="E28" s="164"/>
      <c r="F28" s="298"/>
      <c r="G28" s="132">
        <f>IFERROR(F28*10^-3*VLOOKUP(C28,'BDD FE'!$B$593:$C$652,2,FALSE)*10^-3,0)</f>
        <v>0</v>
      </c>
      <c r="H28" s="125"/>
      <c r="I28" s="145"/>
      <c r="K28" s="149"/>
    </row>
    <row r="29" spans="1:11" ht="15" thickBot="1">
      <c r="B29" s="127"/>
      <c r="C29" s="165"/>
      <c r="D29" s="164"/>
      <c r="E29" s="164"/>
      <c r="F29" s="298"/>
      <c r="G29" s="132">
        <f>IFERROR(F29*10^-3*VLOOKUP(C29,'BDD FE'!$B$593:$C$652,2,FALSE)*10^-3,0)</f>
        <v>0</v>
      </c>
      <c r="H29" s="125"/>
      <c r="I29" s="150"/>
      <c r="J29" s="151"/>
      <c r="K29" s="152"/>
    </row>
    <row r="30" spans="1:11">
      <c r="B30" s="127"/>
      <c r="C30" s="165"/>
      <c r="D30" s="164"/>
      <c r="E30" s="164"/>
      <c r="F30" s="298"/>
      <c r="G30" s="132">
        <f>IFERROR(F30*10^-3*VLOOKUP(C30,'BDD FE'!$B$593:$C$652,2,FALSE)*10^-3,0)</f>
        <v>0</v>
      </c>
      <c r="H30" s="125"/>
      <c r="I30" s="111"/>
    </row>
    <row r="31" spans="1:11">
      <c r="B31" s="127"/>
      <c r="G31" s="139">
        <f>SUM(G13:G30)</f>
        <v>0</v>
      </c>
      <c r="H31" s="125"/>
      <c r="I31" s="111"/>
    </row>
    <row r="32" spans="1:11" ht="15" thickBot="1">
      <c r="B32" s="124"/>
      <c r="C32" s="111"/>
      <c r="D32" s="111"/>
      <c r="E32" s="111"/>
      <c r="F32" s="111"/>
      <c r="G32" s="111"/>
      <c r="H32" s="125"/>
      <c r="I32" s="111"/>
    </row>
    <row r="33" spans="2:11" ht="20.5" thickBot="1">
      <c r="B33" s="124"/>
      <c r="C33" s="111"/>
      <c r="D33" s="111"/>
      <c r="E33" s="111"/>
      <c r="F33" s="111"/>
      <c r="G33" s="111"/>
      <c r="H33" s="125"/>
      <c r="I33" s="706" t="s">
        <v>3636</v>
      </c>
      <c r="J33" s="707"/>
      <c r="K33" s="708"/>
    </row>
    <row r="34" spans="2:11" ht="39.65" customHeight="1" thickBot="1">
      <c r="B34" s="136"/>
      <c r="C34" s="137"/>
      <c r="D34" s="137"/>
      <c r="E34" s="137"/>
      <c r="F34" s="137"/>
      <c r="G34" s="137"/>
      <c r="H34" s="138"/>
      <c r="I34" s="709" t="s">
        <v>3703</v>
      </c>
      <c r="J34" s="710"/>
      <c r="K34" s="711"/>
    </row>
    <row r="35" spans="2:11" ht="39.65" customHeight="1" thickBot="1">
      <c r="B35" s="620" t="s">
        <v>46</v>
      </c>
      <c r="C35" s="621"/>
      <c r="D35" s="621"/>
      <c r="E35" s="621"/>
      <c r="F35" s="621"/>
      <c r="G35" s="621"/>
      <c r="H35" s="621"/>
      <c r="I35" s="684"/>
      <c r="J35" s="685"/>
      <c r="K35" s="686"/>
    </row>
    <row r="36" spans="2:11" ht="31.5">
      <c r="B36" s="124"/>
      <c r="C36" s="111"/>
      <c r="D36" s="111"/>
      <c r="E36" s="111"/>
      <c r="F36" s="111"/>
      <c r="G36" s="111"/>
      <c r="H36" s="111"/>
      <c r="I36" s="378" t="s">
        <v>3637</v>
      </c>
      <c r="J36" s="376"/>
      <c r="K36" s="379" t="s">
        <v>3638</v>
      </c>
    </row>
    <row r="37" spans="2:11" ht="17.5">
      <c r="B37" s="127"/>
      <c r="C37" s="703" t="s">
        <v>3354</v>
      </c>
      <c r="D37" s="704"/>
      <c r="E37" s="705"/>
      <c r="F37" s="111"/>
      <c r="G37" s="111"/>
      <c r="H37" s="111"/>
      <c r="I37" s="380" t="s">
        <v>3490</v>
      </c>
      <c r="J37" s="381"/>
      <c r="K37" s="382" t="s">
        <v>3429</v>
      </c>
    </row>
    <row r="38" spans="2:11" ht="25">
      <c r="B38" s="127"/>
      <c r="C38" s="374" t="s">
        <v>3411</v>
      </c>
      <c r="D38" s="287" t="s">
        <v>21</v>
      </c>
      <c r="E38" s="117" t="s">
        <v>118</v>
      </c>
      <c r="H38" s="111"/>
      <c r="I38" s="380" t="s">
        <v>3492</v>
      </c>
      <c r="J38" s="381"/>
      <c r="K38" s="383" t="s">
        <v>3635</v>
      </c>
    </row>
    <row r="39" spans="2:11" ht="30" customHeight="1">
      <c r="B39" s="127"/>
      <c r="C39" s="155" t="str" cm="1">
        <f t="array" ref="C39">IF(ISBLANK(_xlfn.UNIQUE(C13:C30)),"",_xlfn.UNIQUE(C13:C30))</f>
        <v/>
      </c>
      <c r="D39" s="121">
        <f t="shared" ref="D39:D58" si="0">SUMIF($C$13:$C$30,C39,$F$13:$F$30)</f>
        <v>0</v>
      </c>
      <c r="E39" s="123">
        <f t="shared" ref="E39:E58" si="1">SUMIF($C$13:$C$30,C39,$G$13:$G$30)</f>
        <v>0</v>
      </c>
      <c r="H39" s="111"/>
      <c r="I39" s="380" t="s">
        <v>3493</v>
      </c>
      <c r="J39" s="381"/>
      <c r="K39" s="382" t="s">
        <v>3426</v>
      </c>
    </row>
    <row r="40" spans="2:11" ht="24" customHeight="1">
      <c r="B40" s="127"/>
      <c r="C40" s="155"/>
      <c r="D40" s="121">
        <f t="shared" si="0"/>
        <v>0</v>
      </c>
      <c r="E40" s="123">
        <f t="shared" si="1"/>
        <v>0</v>
      </c>
      <c r="H40" s="111"/>
      <c r="I40" s="380" t="s">
        <v>3494</v>
      </c>
      <c r="J40" s="381"/>
      <c r="K40" s="382" t="s">
        <v>3436</v>
      </c>
    </row>
    <row r="41" spans="2:11">
      <c r="B41" s="127"/>
      <c r="C41" s="155"/>
      <c r="D41" s="121">
        <f t="shared" si="0"/>
        <v>0</v>
      </c>
      <c r="E41" s="123">
        <f t="shared" si="1"/>
        <v>0</v>
      </c>
      <c r="H41" s="111"/>
      <c r="I41" s="380" t="s">
        <v>3497</v>
      </c>
      <c r="J41" s="381"/>
      <c r="K41" s="382" t="s">
        <v>3426</v>
      </c>
    </row>
    <row r="42" spans="2:11" ht="50">
      <c r="B42" s="127"/>
      <c r="C42" s="155"/>
      <c r="D42" s="121">
        <f t="shared" si="0"/>
        <v>0</v>
      </c>
      <c r="E42" s="123">
        <f t="shared" si="1"/>
        <v>0</v>
      </c>
      <c r="H42" s="111"/>
      <c r="I42" s="380" t="s">
        <v>3500</v>
      </c>
      <c r="J42" s="381"/>
      <c r="K42" s="382" t="s">
        <v>3425</v>
      </c>
    </row>
    <row r="43" spans="2:11" ht="40">
      <c r="B43" s="127"/>
      <c r="C43" s="155"/>
      <c r="D43" s="121">
        <f t="shared" si="0"/>
        <v>0</v>
      </c>
      <c r="E43" s="123">
        <f t="shared" si="1"/>
        <v>0</v>
      </c>
      <c r="H43" s="111"/>
      <c r="I43" s="380" t="s">
        <v>3529</v>
      </c>
      <c r="J43" s="381"/>
      <c r="K43" s="383" t="s">
        <v>3632</v>
      </c>
    </row>
    <row r="44" spans="2:11">
      <c r="B44" s="127"/>
      <c r="C44" s="155"/>
      <c r="D44" s="121">
        <f t="shared" si="0"/>
        <v>0</v>
      </c>
      <c r="E44" s="123">
        <f t="shared" si="1"/>
        <v>0</v>
      </c>
      <c r="H44" s="111"/>
      <c r="I44" s="380" t="s">
        <v>3512</v>
      </c>
      <c r="J44" s="381"/>
      <c r="K44" s="382" t="s">
        <v>3436</v>
      </c>
    </row>
    <row r="45" spans="2:11" ht="21">
      <c r="B45" s="127"/>
      <c r="C45" s="155"/>
      <c r="D45" s="121">
        <f t="shared" si="0"/>
        <v>0</v>
      </c>
      <c r="E45" s="123">
        <f t="shared" si="1"/>
        <v>0</v>
      </c>
      <c r="H45" s="111"/>
      <c r="I45" s="380" t="s">
        <v>3483</v>
      </c>
      <c r="J45" s="381"/>
      <c r="K45" s="382" t="s">
        <v>3427</v>
      </c>
    </row>
    <row r="46" spans="2:11" ht="21">
      <c r="B46" s="127"/>
      <c r="C46" s="155"/>
      <c r="D46" s="121">
        <f t="shared" si="0"/>
        <v>0</v>
      </c>
      <c r="E46" s="123">
        <f t="shared" si="1"/>
        <v>0</v>
      </c>
      <c r="H46" s="111"/>
      <c r="I46" s="380" t="s">
        <v>3481</v>
      </c>
      <c r="J46" s="381"/>
      <c r="K46" s="382" t="s">
        <v>3633</v>
      </c>
    </row>
    <row r="47" spans="2:11" ht="21.65" customHeight="1">
      <c r="B47" s="127"/>
      <c r="C47" s="155"/>
      <c r="D47" s="121">
        <f t="shared" si="0"/>
        <v>0</v>
      </c>
      <c r="E47" s="123">
        <f t="shared" si="1"/>
        <v>0</v>
      </c>
      <c r="H47" s="111"/>
      <c r="I47" s="380" t="s">
        <v>3515</v>
      </c>
      <c r="J47" s="381"/>
      <c r="K47" s="382" t="s">
        <v>3807</v>
      </c>
    </row>
    <row r="48" spans="2:11" ht="18" customHeight="1">
      <c r="B48" s="127"/>
      <c r="C48" s="155"/>
      <c r="D48" s="121">
        <f t="shared" si="0"/>
        <v>0</v>
      </c>
      <c r="E48" s="123">
        <f t="shared" si="1"/>
        <v>0</v>
      </c>
      <c r="H48" s="111"/>
      <c r="I48" s="380" t="s">
        <v>3609</v>
      </c>
      <c r="J48" s="381"/>
      <c r="K48" s="382" t="s">
        <v>3426</v>
      </c>
    </row>
    <row r="49" spans="1:12">
      <c r="B49" s="127"/>
      <c r="C49" s="155"/>
      <c r="D49" s="121">
        <f t="shared" si="0"/>
        <v>0</v>
      </c>
      <c r="E49" s="123">
        <f t="shared" si="1"/>
        <v>0</v>
      </c>
      <c r="H49" s="111"/>
      <c r="I49" s="380" t="s">
        <v>3610</v>
      </c>
      <c r="J49" s="381"/>
      <c r="K49" s="382" t="s">
        <v>3426</v>
      </c>
    </row>
    <row r="50" spans="1:12" ht="30" customHeight="1">
      <c r="B50" s="127"/>
      <c r="C50" s="155"/>
      <c r="D50" s="121">
        <f t="shared" si="0"/>
        <v>0</v>
      </c>
      <c r="E50" s="123">
        <f t="shared" si="1"/>
        <v>0</v>
      </c>
      <c r="H50" s="111"/>
      <c r="I50" s="380" t="s">
        <v>3516</v>
      </c>
      <c r="J50" s="381"/>
      <c r="K50" s="382" t="s">
        <v>3436</v>
      </c>
    </row>
    <row r="51" spans="1:12" ht="27.65" customHeight="1">
      <c r="B51" s="127"/>
      <c r="C51" s="155"/>
      <c r="D51" s="121">
        <f t="shared" si="0"/>
        <v>0</v>
      </c>
      <c r="E51" s="123">
        <f t="shared" si="1"/>
        <v>0</v>
      </c>
      <c r="H51" s="111"/>
      <c r="I51" s="380" t="s">
        <v>3505</v>
      </c>
      <c r="J51" s="381"/>
      <c r="K51" s="382" t="s">
        <v>3426</v>
      </c>
    </row>
    <row r="52" spans="1:12" ht="21">
      <c r="B52" s="127"/>
      <c r="C52" s="155"/>
      <c r="D52" s="121">
        <f t="shared" si="0"/>
        <v>0</v>
      </c>
      <c r="E52" s="123">
        <f t="shared" si="1"/>
        <v>0</v>
      </c>
      <c r="H52" s="111"/>
      <c r="I52" s="380" t="s">
        <v>3517</v>
      </c>
      <c r="J52" s="381"/>
      <c r="K52" s="382" t="s">
        <v>3633</v>
      </c>
    </row>
    <row r="53" spans="1:12" s="112" customFormat="1" ht="25.25" customHeight="1">
      <c r="A53"/>
      <c r="B53" s="127"/>
      <c r="C53" s="155"/>
      <c r="D53" s="121">
        <f t="shared" si="0"/>
        <v>0</v>
      </c>
      <c r="E53" s="123">
        <f t="shared" si="1"/>
        <v>0</v>
      </c>
      <c r="F53" s="111"/>
      <c r="G53" s="111"/>
      <c r="H53" s="111"/>
      <c r="I53" s="380" t="s">
        <v>3611</v>
      </c>
      <c r="J53" s="384"/>
      <c r="K53" s="382" t="s">
        <v>3378</v>
      </c>
      <c r="L53"/>
    </row>
    <row r="54" spans="1:12" s="112" customFormat="1" ht="33.65" customHeight="1">
      <c r="A54"/>
      <c r="B54" s="127"/>
      <c r="C54" s="155"/>
      <c r="D54" s="121">
        <f t="shared" si="0"/>
        <v>0</v>
      </c>
      <c r="E54" s="123">
        <f t="shared" si="1"/>
        <v>0</v>
      </c>
      <c r="F54" s="111"/>
      <c r="G54" s="111"/>
      <c r="H54" s="111"/>
      <c r="I54" s="380" t="s">
        <v>3612</v>
      </c>
      <c r="J54" s="384"/>
      <c r="K54" s="382" t="s">
        <v>3378</v>
      </c>
      <c r="L54"/>
    </row>
    <row r="55" spans="1:12" s="112" customFormat="1" ht="27.65" customHeight="1">
      <c r="A55"/>
      <c r="B55" s="127"/>
      <c r="C55" s="155"/>
      <c r="D55" s="121">
        <f t="shared" si="0"/>
        <v>0</v>
      </c>
      <c r="E55" s="123">
        <f t="shared" si="1"/>
        <v>0</v>
      </c>
      <c r="F55" s="111"/>
      <c r="G55" s="111"/>
      <c r="H55" s="111"/>
      <c r="I55" s="380" t="s">
        <v>3521</v>
      </c>
      <c r="J55" s="384"/>
      <c r="K55" s="382" t="s">
        <v>3426</v>
      </c>
      <c r="L55"/>
    </row>
    <row r="56" spans="1:12" s="112" customFormat="1" ht="28.75" customHeight="1">
      <c r="A56"/>
      <c r="B56" s="127"/>
      <c r="C56" s="155"/>
      <c r="D56" s="121">
        <f t="shared" si="0"/>
        <v>0</v>
      </c>
      <c r="E56" s="123">
        <f t="shared" si="1"/>
        <v>0</v>
      </c>
      <c r="F56" s="111"/>
      <c r="G56" s="111"/>
      <c r="H56" s="111"/>
      <c r="I56" s="380" t="s">
        <v>3522</v>
      </c>
      <c r="J56" s="384"/>
      <c r="K56" s="382" t="s">
        <v>3436</v>
      </c>
      <c r="L56"/>
    </row>
    <row r="57" spans="1:12" s="112" customFormat="1" ht="54" customHeight="1">
      <c r="A57"/>
      <c r="B57" s="127"/>
      <c r="C57" s="155"/>
      <c r="D57" s="121">
        <f t="shared" si="0"/>
        <v>0</v>
      </c>
      <c r="E57" s="123">
        <f t="shared" si="1"/>
        <v>0</v>
      </c>
      <c r="F57" s="111"/>
      <c r="G57" s="111"/>
      <c r="H57" s="111"/>
      <c r="I57" s="380" t="s">
        <v>3639</v>
      </c>
      <c r="J57" s="384"/>
      <c r="K57" s="382" t="s">
        <v>3425</v>
      </c>
      <c r="L57"/>
    </row>
    <row r="58" spans="1:12" s="112" customFormat="1" ht="21.65" customHeight="1">
      <c r="A58"/>
      <c r="B58" s="127"/>
      <c r="C58" s="155"/>
      <c r="D58" s="121">
        <f t="shared" si="0"/>
        <v>0</v>
      </c>
      <c r="E58" s="123">
        <f t="shared" si="1"/>
        <v>0</v>
      </c>
      <c r="F58" s="111"/>
      <c r="G58" s="111"/>
      <c r="H58" s="111"/>
      <c r="I58" s="380" t="s">
        <v>3615</v>
      </c>
      <c r="J58" s="384"/>
      <c r="K58" s="383" t="s">
        <v>3634</v>
      </c>
      <c r="L58"/>
    </row>
    <row r="59" spans="1:12" s="112" customFormat="1" ht="26.4" customHeight="1">
      <c r="A59"/>
      <c r="B59" s="127"/>
      <c r="E59" s="111"/>
      <c r="F59" s="111"/>
      <c r="G59" s="111"/>
      <c r="H59" s="111"/>
      <c r="I59" s="380" t="s">
        <v>3616</v>
      </c>
      <c r="J59" s="384"/>
      <c r="K59" s="383" t="s">
        <v>3634</v>
      </c>
      <c r="L59"/>
    </row>
    <row r="60" spans="1:12" s="112" customFormat="1" ht="15" thickBot="1">
      <c r="A60"/>
      <c r="B60" s="127"/>
      <c r="E60" s="111"/>
      <c r="F60" s="111"/>
      <c r="G60" s="111"/>
      <c r="H60" s="111"/>
      <c r="I60" s="385" t="s">
        <v>3617</v>
      </c>
      <c r="J60" s="386"/>
      <c r="K60" s="387" t="s">
        <v>3634</v>
      </c>
      <c r="L60"/>
    </row>
    <row r="61" spans="1:12" s="112" customFormat="1">
      <c r="A61"/>
      <c r="B61" s="127"/>
      <c r="I61" s="301"/>
      <c r="J61" s="377"/>
      <c r="K61" s="377"/>
      <c r="L61"/>
    </row>
    <row r="62" spans="1:12" s="112" customFormat="1">
      <c r="A62"/>
      <c r="B62" s="127"/>
      <c r="H62" s="126"/>
      <c r="I62" s="301"/>
      <c r="J62" s="377"/>
      <c r="K62" s="377"/>
      <c r="L62"/>
    </row>
    <row r="63" spans="1:12" s="112" customFormat="1">
      <c r="A63"/>
      <c r="B63" s="127"/>
      <c r="H63" s="126"/>
      <c r="J63"/>
      <c r="K63"/>
      <c r="L63"/>
    </row>
    <row r="64" spans="1:12" s="112" customFormat="1">
      <c r="A64"/>
      <c r="B64" s="127"/>
      <c r="H64" s="126"/>
      <c r="J64"/>
      <c r="K64"/>
      <c r="L64"/>
    </row>
    <row r="65" spans="1:12" s="112" customFormat="1">
      <c r="A65"/>
      <c r="B65" s="127"/>
      <c r="H65" s="126"/>
      <c r="J65"/>
      <c r="K65"/>
      <c r="L65"/>
    </row>
    <row r="66" spans="1:12" s="112" customFormat="1">
      <c r="A66"/>
      <c r="B66" s="127"/>
      <c r="H66" s="126"/>
      <c r="J66"/>
      <c r="K66"/>
      <c r="L66"/>
    </row>
    <row r="67" spans="1:12" s="112" customFormat="1">
      <c r="A67"/>
      <c r="B67" s="127"/>
      <c r="H67" s="126"/>
      <c r="J67"/>
      <c r="K67"/>
      <c r="L67"/>
    </row>
    <row r="68" spans="1:12" s="112" customFormat="1">
      <c r="A68"/>
      <c r="B68" s="127"/>
      <c r="H68" s="126"/>
      <c r="J68"/>
      <c r="K68"/>
      <c r="L68"/>
    </row>
    <row r="69" spans="1:12" s="112" customFormat="1">
      <c r="A69"/>
      <c r="B69" s="127"/>
      <c r="H69" s="126"/>
      <c r="J69"/>
      <c r="K69"/>
      <c r="L69"/>
    </row>
    <row r="70" spans="1:12" s="112" customFormat="1">
      <c r="A70"/>
      <c r="B70" s="127"/>
      <c r="H70" s="126"/>
      <c r="J70"/>
      <c r="K70"/>
      <c r="L70"/>
    </row>
    <row r="71" spans="1:12" s="112" customFormat="1">
      <c r="A71"/>
      <c r="B71" s="127"/>
      <c r="H71" s="126"/>
      <c r="J71"/>
      <c r="K71"/>
      <c r="L71"/>
    </row>
    <row r="72" spans="1:12" s="112" customFormat="1">
      <c r="A72"/>
      <c r="B72" s="127"/>
      <c r="H72" s="126"/>
      <c r="J72"/>
      <c r="K72"/>
      <c r="L72"/>
    </row>
    <row r="73" spans="1:12" s="112" customFormat="1">
      <c r="A73"/>
      <c r="B73" s="127"/>
      <c r="H73" s="126"/>
      <c r="J73"/>
      <c r="K73"/>
      <c r="L73"/>
    </row>
    <row r="74" spans="1:12">
      <c r="B74" s="127"/>
      <c r="H74" s="126"/>
    </row>
    <row r="75" spans="1:12">
      <c r="B75" s="127"/>
      <c r="H75" s="126"/>
    </row>
    <row r="76" spans="1:12">
      <c r="B76" s="127"/>
      <c r="H76" s="126"/>
    </row>
    <row r="77" spans="1:12">
      <c r="B77" s="127"/>
      <c r="H77" s="126"/>
    </row>
    <row r="78" spans="1:12">
      <c r="B78" s="127"/>
      <c r="H78" s="126"/>
    </row>
    <row r="79" spans="1:12">
      <c r="B79" s="127"/>
      <c r="H79" s="126"/>
    </row>
    <row r="80" spans="1:12">
      <c r="B80" s="127"/>
      <c r="H80" s="126"/>
    </row>
    <row r="81" spans="2:8">
      <c r="B81" s="127"/>
      <c r="H81" s="126"/>
    </row>
    <row r="82" spans="2:8" ht="15" thickBot="1">
      <c r="B82" s="142"/>
      <c r="C82" s="143"/>
      <c r="D82" s="143"/>
      <c r="E82" s="143"/>
      <c r="F82" s="143"/>
      <c r="G82" s="143"/>
      <c r="H82" s="144"/>
    </row>
  </sheetData>
  <protectedRanges>
    <protectedRange sqref="D13:F30" name="Plage1_1"/>
    <protectedRange sqref="C13:C30" name="Plage1_2"/>
    <protectedRange sqref="I3 I35" name="Plage1_1_3"/>
  </protectedRanges>
  <mergeCells count="11">
    <mergeCell ref="C37:E37"/>
    <mergeCell ref="I7:K7"/>
    <mergeCell ref="I14:K14"/>
    <mergeCell ref="I15:K23"/>
    <mergeCell ref="B1:H1"/>
    <mergeCell ref="I1:K1"/>
    <mergeCell ref="I2:K2"/>
    <mergeCell ref="B35:H35"/>
    <mergeCell ref="C4:G10"/>
    <mergeCell ref="I33:K33"/>
    <mergeCell ref="I34:K35"/>
  </mergeCells>
  <hyperlinks>
    <hyperlink ref="A6" location="'1_Votre Structure'!A1" display="Votre structure" xr:uid="{D0322531-89A5-4888-968D-89551B52C171}"/>
    <hyperlink ref="A7" location="'2_ConsoEnergieEau'!A1" display="Consommation d'énergie et d'eau" xr:uid="{B086611A-045D-4123-885F-4C5433235676}"/>
    <hyperlink ref="A8" location="'3_Climatisation'!A1" display="Climatisation" xr:uid="{7C522AC3-53B8-4D06-A2C7-3F2A89BF03A1}"/>
    <hyperlink ref="A12" location="'7_DéplacementsProfessionnels'!A1" display="Déplacements professionnels" xr:uid="{566B0CDE-82D4-4785-9D74-F361657D1F20}"/>
    <hyperlink ref="A13" location="'8_DéplacementsSalariés'!A1" display="Déplacements des salariés" xr:uid="{CDD9232B-E114-481F-9F7F-D4EDBE11DF00}"/>
    <hyperlink ref="A17" location="'12_Equipements'!A1" display="Equipements" xr:uid="{02725FE4-F4DF-40B2-A92E-CD1B86D4258B}"/>
    <hyperlink ref="A10" location="'5_Déchets'!A1" display="Déchets" xr:uid="{526AB2E9-1B85-4AF4-B3E3-D8662F274E2C}"/>
    <hyperlink ref="A22" location="'17_TransportMatériel'!A1" display="Transport de matériel et d'œuvres" xr:uid="{104B03A2-1EF6-48CE-9378-9D4EA4AE401E}"/>
    <hyperlink ref="A23" location="'18_ImpressionsComPapier'!A1" display="Impression et communication papier" xr:uid="{8F2B808B-5C37-4ABD-8F51-E7FBCF2529D0}"/>
    <hyperlink ref="A24" location="'19_ComDigitale'!A1" display="Communication digitale" xr:uid="{D950BB61-2410-4CC6-ACAE-F8A804F3DD25}"/>
    <hyperlink ref="A25" location="'20_Billetterie'!A1" display="Billetterie" xr:uid="{A2A4B0A0-58EE-47A4-9881-F52A2283630C}"/>
    <hyperlink ref="A20" location="'15_Alimentation'!A1" display="Alimentation" xr:uid="{A7D3A9F5-7CDA-4CC7-B377-A5A8ADEE1869}"/>
    <hyperlink ref="A14" location="'9_DéplacementsVisiteurs'!A1" display="Déplacements des visiteurs" xr:uid="{FE4AB51C-E7DD-4AE7-9F24-6FF6482ECAAB}"/>
    <hyperlink ref="A15" location="'10_Tournées artistiques'!A1" display="Tournées artistiques" xr:uid="{2A0F17F9-3DC8-48BD-B68D-F04CE2B9D8CE}"/>
    <hyperlink ref="A16" location="'11_Artistes invité.e.s'!A1" display="Artistes invité.e.s" xr:uid="{258F27F4-D6FF-472E-9897-F59A04FB131B}"/>
    <hyperlink ref="A9" location="'4_Bâtiments,travaux, agcmt'!A1" display="Bâtiments, travaux et agencements" xr:uid="{A6571AFC-BE00-4464-9368-A2E134AED2E9}"/>
    <hyperlink ref="A18" location="'13_Achats - Documents papiers'!A1" display="Achats - Documents papiers" xr:uid="{DC259060-9880-4C80-8B63-7EE26361F77B}"/>
    <hyperlink ref="A21" location="'16_Autres achats (€)'!A1" display="Autres achats" xr:uid="{981CAE06-BBB4-4751-B0AB-B30CC4DBF185}"/>
    <hyperlink ref="A19" location="'14_Décors'!A1" display="Décors" xr:uid="{5FDDDB17-8042-4D40-8CE3-1735C5DFE6C9}"/>
    <hyperlink ref="A11" location="'6_DéplacementsPrestations'!A1" display="Déplacements de prestations" xr:uid="{8E032BFD-75AF-42A4-B294-A68871D086C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4533D3-FF6A-4FF7-A615-4FD3B0360E42}">
          <x14:formula1>
            <xm:f>'BDD FE'!$B$593:$B$652</xm:f>
          </x14:formula1>
          <xm:sqref>C13:C30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P48"/>
  <sheetViews>
    <sheetView showGridLines="0" zoomScale="70" zoomScaleNormal="70" workbookViewId="0">
      <selection activeCell="H13" sqref="H13:H30"/>
    </sheetView>
  </sheetViews>
  <sheetFormatPr baseColWidth="10" defaultColWidth="0" defaultRowHeight="14.5" zeroHeight="1"/>
  <cols>
    <col min="1" max="1" width="25.81640625" bestFit="1" customWidth="1"/>
    <col min="2" max="2" width="10.1796875" customWidth="1"/>
    <col min="3" max="10" width="19.36328125" style="170" customWidth="1"/>
    <col min="11" max="11" width="10.1796875" customWidth="1"/>
    <col min="12" max="12" width="11.1796875" customWidth="1"/>
    <col min="13" max="15" width="11.453125" customWidth="1"/>
    <col min="16" max="16" width="0" hidden="1" customWidth="1"/>
    <col min="17" max="16384" width="11.453125" hidden="1"/>
  </cols>
  <sheetData>
    <row r="1" spans="1:15" ht="21.25" customHeight="1" thickBot="1">
      <c r="A1" s="647" t="s">
        <v>3359</v>
      </c>
      <c r="B1" s="649" t="s">
        <v>3441</v>
      </c>
      <c r="C1" s="572"/>
      <c r="D1" s="572"/>
      <c r="E1" s="572"/>
      <c r="F1" s="572"/>
      <c r="G1" s="572"/>
      <c r="H1" s="572"/>
      <c r="I1" s="572"/>
      <c r="J1" s="572"/>
      <c r="K1" s="573"/>
      <c r="L1" s="656" t="s">
        <v>3391</v>
      </c>
      <c r="M1" s="657"/>
      <c r="N1" s="658"/>
    </row>
    <row r="2" spans="1:15" ht="18" thickBot="1">
      <c r="A2" s="648"/>
      <c r="B2" s="145"/>
      <c r="C2" s="130"/>
      <c r="D2" s="130"/>
      <c r="F2" s="504">
        <f>SUM(J41)</f>
        <v>0</v>
      </c>
      <c r="J2" s="130"/>
      <c r="K2" s="125"/>
      <c r="L2" s="613" t="s">
        <v>3457</v>
      </c>
      <c r="M2" s="614"/>
      <c r="N2" s="615"/>
    </row>
    <row r="3" spans="1:15">
      <c r="A3" s="338"/>
      <c r="B3" s="145"/>
      <c r="C3" s="130"/>
      <c r="D3" s="130"/>
      <c r="E3" s="130"/>
      <c r="F3" s="130"/>
      <c r="G3" s="130"/>
      <c r="H3" s="130"/>
      <c r="I3" s="130"/>
      <c r="J3" s="130"/>
      <c r="K3" s="125"/>
      <c r="L3" s="633"/>
      <c r="M3" s="634"/>
      <c r="N3" s="635"/>
    </row>
    <row r="4" spans="1:15">
      <c r="A4" s="338"/>
      <c r="B4" s="145"/>
      <c r="C4" s="630" t="s">
        <v>3381</v>
      </c>
      <c r="D4" s="630"/>
      <c r="E4" s="630"/>
      <c r="F4" s="630"/>
      <c r="G4" s="630"/>
      <c r="H4" s="630"/>
      <c r="I4" s="630"/>
      <c r="J4" s="630"/>
      <c r="K4" s="125"/>
      <c r="L4" s="633"/>
      <c r="M4" s="634"/>
      <c r="N4" s="635"/>
    </row>
    <row r="5" spans="1:15">
      <c r="A5" s="338"/>
      <c r="B5" s="145"/>
      <c r="C5" s="630"/>
      <c r="D5" s="630"/>
      <c r="E5" s="630"/>
      <c r="F5" s="630"/>
      <c r="G5" s="630"/>
      <c r="H5" s="630"/>
      <c r="I5" s="630"/>
      <c r="J5" s="630"/>
      <c r="K5" s="125"/>
      <c r="L5" s="633"/>
      <c r="M5" s="634"/>
      <c r="N5" s="635"/>
    </row>
    <row r="6" spans="1:15">
      <c r="A6" s="341" t="s">
        <v>3357</v>
      </c>
      <c r="B6" s="145"/>
      <c r="C6" s="630"/>
      <c r="D6" s="630"/>
      <c r="E6" s="630"/>
      <c r="F6" s="630"/>
      <c r="G6" s="630"/>
      <c r="H6" s="630"/>
      <c r="I6" s="630"/>
      <c r="J6" s="630"/>
      <c r="K6" s="125"/>
      <c r="L6" s="639"/>
      <c r="M6" s="640"/>
      <c r="N6" s="641"/>
    </row>
    <row r="7" spans="1:15" s="170" customFormat="1">
      <c r="A7" s="339" t="s">
        <v>3434</v>
      </c>
      <c r="B7" s="145"/>
      <c r="C7" s="630"/>
      <c r="D7" s="630"/>
      <c r="E7" s="630"/>
      <c r="F7" s="630"/>
      <c r="G7" s="630"/>
      <c r="H7" s="630"/>
      <c r="I7" s="630"/>
      <c r="J7" s="630"/>
      <c r="K7" s="125"/>
      <c r="L7" s="246" t="s">
        <v>3458</v>
      </c>
      <c r="M7" s="343"/>
      <c r="N7" s="344"/>
      <c r="O7" s="293"/>
    </row>
    <row r="8" spans="1:15">
      <c r="A8" s="339" t="s">
        <v>7</v>
      </c>
      <c r="B8" s="145"/>
      <c r="C8" s="630"/>
      <c r="D8" s="630"/>
      <c r="E8" s="630"/>
      <c r="F8" s="630"/>
      <c r="G8" s="630"/>
      <c r="H8" s="630"/>
      <c r="I8" s="630"/>
      <c r="J8" s="630"/>
      <c r="K8" s="125"/>
      <c r="L8" s="633"/>
      <c r="M8" s="634"/>
      <c r="N8" s="635"/>
    </row>
    <row r="9" spans="1:15">
      <c r="A9" s="339" t="s">
        <v>3427</v>
      </c>
      <c r="B9" s="145"/>
      <c r="C9" s="630"/>
      <c r="D9" s="630"/>
      <c r="E9" s="630"/>
      <c r="F9" s="630"/>
      <c r="G9" s="630"/>
      <c r="H9" s="630"/>
      <c r="I9" s="630"/>
      <c r="J9" s="630"/>
      <c r="K9" s="125"/>
      <c r="L9" s="633"/>
      <c r="M9" s="634"/>
      <c r="N9" s="635"/>
    </row>
    <row r="10" spans="1:15">
      <c r="A10" s="340" t="s">
        <v>10</v>
      </c>
      <c r="B10" s="145"/>
      <c r="C10" s="712" t="s">
        <v>3382</v>
      </c>
      <c r="D10" s="712"/>
      <c r="E10" s="712"/>
      <c r="F10" s="712"/>
      <c r="G10" s="712"/>
      <c r="H10" s="712"/>
      <c r="I10" s="712"/>
      <c r="J10" s="712"/>
      <c r="K10" s="125"/>
      <c r="L10" s="633"/>
      <c r="M10" s="634"/>
      <c r="N10" s="635"/>
    </row>
    <row r="11" spans="1:15">
      <c r="A11" s="340" t="s">
        <v>3645</v>
      </c>
      <c r="B11" s="145"/>
      <c r="C11" s="130"/>
      <c r="D11" s="130"/>
      <c r="E11" s="130"/>
      <c r="F11" s="130"/>
      <c r="G11" s="130"/>
      <c r="H11" s="130"/>
      <c r="I11" s="130"/>
      <c r="J11" s="130"/>
      <c r="K11" s="125"/>
      <c r="L11" s="633"/>
      <c r="M11" s="634"/>
      <c r="N11" s="635"/>
    </row>
    <row r="12" spans="1:15" ht="25.4" customHeight="1">
      <c r="A12" s="339" t="s">
        <v>3431</v>
      </c>
      <c r="B12" s="190"/>
      <c r="C12" s="117" t="s">
        <v>116</v>
      </c>
      <c r="D12" s="289" t="s">
        <v>3591</v>
      </c>
      <c r="E12" s="289" t="s">
        <v>3590</v>
      </c>
      <c r="F12" s="117" t="s">
        <v>117</v>
      </c>
      <c r="G12" s="289" t="s">
        <v>3450</v>
      </c>
      <c r="H12" s="289" t="s">
        <v>3448</v>
      </c>
      <c r="I12" s="117" t="s">
        <v>72</v>
      </c>
      <c r="J12" s="117" t="s">
        <v>118</v>
      </c>
      <c r="K12" s="148"/>
      <c r="L12" s="633"/>
      <c r="M12" s="634"/>
      <c r="N12" s="635"/>
    </row>
    <row r="13" spans="1:15">
      <c r="A13" s="340" t="s">
        <v>5</v>
      </c>
      <c r="B13" s="145"/>
      <c r="C13" s="165"/>
      <c r="D13" s="164"/>
      <c r="E13" s="164"/>
      <c r="F13" s="164"/>
      <c r="G13" s="164"/>
      <c r="H13" s="171">
        <f>F13*G13</f>
        <v>0</v>
      </c>
      <c r="I13" s="165"/>
      <c r="J13" s="132">
        <f>IFERROR('BDD FE'!$C$109*H13/100*VLOOKUP(I13,'BDD FE'!$B$306:$D$309,2,0)*10^-3,0)</f>
        <v>0</v>
      </c>
      <c r="K13" s="125"/>
      <c r="L13" s="633"/>
      <c r="M13" s="634"/>
      <c r="N13" s="635"/>
    </row>
    <row r="14" spans="1:15">
      <c r="A14" s="339" t="s">
        <v>6</v>
      </c>
      <c r="B14" s="145"/>
      <c r="C14" s="165"/>
      <c r="D14" s="489"/>
      <c r="E14" s="489"/>
      <c r="F14" s="164"/>
      <c r="G14" s="164"/>
      <c r="H14" s="171">
        <f t="shared" ref="H14:H30" si="0">F14*G14</f>
        <v>0</v>
      </c>
      <c r="I14" s="165"/>
      <c r="J14" s="132">
        <f>IFERROR('BDD FE'!$C$109*H14/100*VLOOKUP(I14,'BDD FE'!$B$306:$D$309,2,0)*10^-3,0)</f>
        <v>0</v>
      </c>
      <c r="K14" s="125"/>
      <c r="L14" s="633"/>
      <c r="M14" s="634"/>
      <c r="N14" s="635"/>
    </row>
    <row r="15" spans="1:15">
      <c r="A15" s="340" t="s">
        <v>12</v>
      </c>
      <c r="B15" s="145"/>
      <c r="C15" s="165"/>
      <c r="D15" s="164"/>
      <c r="E15" s="164"/>
      <c r="F15" s="164"/>
      <c r="G15" s="164"/>
      <c r="H15" s="171">
        <f t="shared" si="0"/>
        <v>0</v>
      </c>
      <c r="I15" s="165"/>
      <c r="J15" s="132">
        <f>IFERROR('BDD FE'!$C$109*H15/100*VLOOKUP(I15,'BDD FE'!$B$306:$D$309,2,0)*10^-3,0)</f>
        <v>0</v>
      </c>
      <c r="K15" s="125"/>
      <c r="L15" s="633"/>
      <c r="M15" s="634"/>
      <c r="N15" s="635"/>
    </row>
    <row r="16" spans="1:15">
      <c r="A16" s="340" t="s">
        <v>14</v>
      </c>
      <c r="B16" s="145"/>
      <c r="C16" s="165"/>
      <c r="D16" s="164"/>
      <c r="E16" s="164"/>
      <c r="F16" s="164"/>
      <c r="G16" s="164"/>
      <c r="H16" s="171">
        <f t="shared" si="0"/>
        <v>0</v>
      </c>
      <c r="I16" s="165"/>
      <c r="J16" s="132">
        <f>IFERROR('BDD FE'!$C$109*H16/100*VLOOKUP(I16,'BDD FE'!$B$306:$D$309,2,0)*10^-3,0)</f>
        <v>0</v>
      </c>
      <c r="K16" s="125"/>
      <c r="L16" s="633"/>
      <c r="M16" s="634"/>
      <c r="N16" s="635"/>
    </row>
    <row r="17" spans="1:14">
      <c r="A17" s="339" t="s">
        <v>3426</v>
      </c>
      <c r="B17" s="145"/>
      <c r="C17" s="165"/>
      <c r="D17" s="164"/>
      <c r="E17" s="164"/>
      <c r="F17" s="164"/>
      <c r="G17" s="164"/>
      <c r="H17" s="171">
        <f t="shared" si="0"/>
        <v>0</v>
      </c>
      <c r="I17" s="165"/>
      <c r="J17" s="132">
        <f>IFERROR('BDD FE'!$C$109*H17/100*VLOOKUP(I17,'BDD FE'!$B$306:$D$309,2,0)*10^-3,0)</f>
        <v>0</v>
      </c>
      <c r="K17" s="125"/>
      <c r="L17" s="633"/>
      <c r="M17" s="634"/>
      <c r="N17" s="635"/>
    </row>
    <row r="18" spans="1:14">
      <c r="A18" s="340" t="s">
        <v>3918</v>
      </c>
      <c r="B18" s="145"/>
      <c r="C18" s="165"/>
      <c r="D18" s="164"/>
      <c r="E18" s="164"/>
      <c r="F18" s="164"/>
      <c r="G18" s="164"/>
      <c r="H18" s="171">
        <f t="shared" si="0"/>
        <v>0</v>
      </c>
      <c r="I18" s="165"/>
      <c r="J18" s="132">
        <f>IFERROR('BDD FE'!$C$109*H18/100*VLOOKUP(I18,'BDD FE'!$B$306:$D$309,2,0)*10^-3,0)</f>
        <v>0</v>
      </c>
      <c r="K18" s="125"/>
      <c r="L18" s="633"/>
      <c r="M18" s="634"/>
      <c r="N18" s="635"/>
    </row>
    <row r="19" spans="1:14">
      <c r="A19" s="340" t="s">
        <v>3436</v>
      </c>
      <c r="B19" s="145"/>
      <c r="C19" s="165"/>
      <c r="D19" s="164"/>
      <c r="E19" s="164"/>
      <c r="F19" s="164"/>
      <c r="G19" s="164"/>
      <c r="H19" s="171">
        <f t="shared" si="0"/>
        <v>0</v>
      </c>
      <c r="I19" s="165"/>
      <c r="J19" s="132">
        <f>IFERROR('BDD FE'!$C$109*H19/100*VLOOKUP(I19,'BDD FE'!$B$306:$D$309,2,0)*10^-3,0)</f>
        <v>0</v>
      </c>
      <c r="K19" s="125"/>
      <c r="L19" s="633"/>
      <c r="M19" s="634"/>
      <c r="N19" s="635"/>
    </row>
    <row r="20" spans="1:14">
      <c r="A20" s="340" t="s">
        <v>3378</v>
      </c>
      <c r="B20" s="145"/>
      <c r="C20" s="165"/>
      <c r="D20" s="164"/>
      <c r="E20" s="164"/>
      <c r="F20" s="164"/>
      <c r="G20" s="164"/>
      <c r="H20" s="171">
        <f t="shared" si="0"/>
        <v>0</v>
      </c>
      <c r="I20" s="165"/>
      <c r="J20" s="132">
        <f>IFERROR('BDD FE'!$C$109*H20/100*VLOOKUP(I20,'BDD FE'!$B$306:$D$309,2,0)*10^-3,0)</f>
        <v>0</v>
      </c>
      <c r="K20" s="125"/>
      <c r="L20" s="633"/>
      <c r="M20" s="634"/>
      <c r="N20" s="635"/>
    </row>
    <row r="21" spans="1:14">
      <c r="A21" s="339" t="s">
        <v>3430</v>
      </c>
      <c r="B21" s="145"/>
      <c r="C21" s="165"/>
      <c r="D21" s="164"/>
      <c r="E21" s="164"/>
      <c r="F21" s="164"/>
      <c r="G21" s="164"/>
      <c r="H21" s="171">
        <f t="shared" si="0"/>
        <v>0</v>
      </c>
      <c r="I21" s="165"/>
      <c r="J21" s="132">
        <f>IFERROR('BDD FE'!$C$109*H21/100*VLOOKUP(I21,'BDD FE'!$B$306:$D$309,2,0)*10^-3,0)</f>
        <v>0</v>
      </c>
      <c r="K21" s="125"/>
      <c r="L21" s="633"/>
      <c r="M21" s="634"/>
      <c r="N21" s="635"/>
    </row>
    <row r="22" spans="1:14">
      <c r="A22" s="340" t="s">
        <v>3433</v>
      </c>
      <c r="B22" s="145"/>
      <c r="C22" s="165"/>
      <c r="D22" s="164"/>
      <c r="E22" s="164"/>
      <c r="F22" s="164"/>
      <c r="G22" s="164"/>
      <c r="H22" s="171">
        <f t="shared" si="0"/>
        <v>0</v>
      </c>
      <c r="I22" s="165"/>
      <c r="J22" s="132">
        <f>IFERROR('BDD FE'!$C$109*H22/100*VLOOKUP(I22,'BDD FE'!$B$306:$D$309,2,0)*10^-3,0)</f>
        <v>0</v>
      </c>
      <c r="K22" s="125"/>
      <c r="L22" s="633"/>
      <c r="M22" s="634"/>
      <c r="N22" s="635"/>
    </row>
    <row r="23" spans="1:14">
      <c r="A23" s="340" t="s">
        <v>3428</v>
      </c>
      <c r="B23" s="145"/>
      <c r="C23" s="165"/>
      <c r="D23" s="164"/>
      <c r="E23" s="164"/>
      <c r="F23" s="164"/>
      <c r="G23" s="164"/>
      <c r="H23" s="171">
        <f t="shared" si="0"/>
        <v>0</v>
      </c>
      <c r="I23" s="165"/>
      <c r="J23" s="132">
        <f>IFERROR('BDD FE'!$C$109*H23/100*VLOOKUP(I23,'BDD FE'!$B$306:$D$309,2,0)*10^-3,0)</f>
        <v>0</v>
      </c>
      <c r="K23" s="125"/>
      <c r="L23" s="633"/>
      <c r="M23" s="634"/>
      <c r="N23" s="635"/>
    </row>
    <row r="24" spans="1:14">
      <c r="A24" s="340" t="s">
        <v>11</v>
      </c>
      <c r="B24" s="145"/>
      <c r="C24" s="165"/>
      <c r="D24" s="164"/>
      <c r="E24" s="164"/>
      <c r="F24" s="164"/>
      <c r="G24" s="164"/>
      <c r="H24" s="171">
        <f t="shared" si="0"/>
        <v>0</v>
      </c>
      <c r="I24" s="165"/>
      <c r="J24" s="132">
        <f>IFERROR('BDD FE'!$C$109*H24/100*VLOOKUP(I24,'BDD FE'!$B$306:$D$309,2,0)*10^-3,0)</f>
        <v>0</v>
      </c>
      <c r="K24" s="125"/>
      <c r="L24" s="633"/>
      <c r="M24" s="634"/>
      <c r="N24" s="635"/>
    </row>
    <row r="25" spans="1:14">
      <c r="A25" s="340" t="s">
        <v>13</v>
      </c>
      <c r="B25" s="145"/>
      <c r="C25" s="165"/>
      <c r="D25" s="164"/>
      <c r="E25" s="164"/>
      <c r="F25" s="164"/>
      <c r="G25" s="164"/>
      <c r="H25" s="171">
        <f t="shared" si="0"/>
        <v>0</v>
      </c>
      <c r="I25" s="165"/>
      <c r="J25" s="132">
        <f>IFERROR('BDD FE'!$C$109*H25/100*VLOOKUP(I25,'BDD FE'!$B$306:$D$309,2,0)*10^-3,0)</f>
        <v>0</v>
      </c>
      <c r="K25" s="125"/>
      <c r="L25" s="633"/>
      <c r="M25" s="634"/>
      <c r="N25" s="635"/>
    </row>
    <row r="26" spans="1:14">
      <c r="B26" s="145"/>
      <c r="C26" s="165"/>
      <c r="D26" s="164"/>
      <c r="E26" s="164"/>
      <c r="F26" s="164"/>
      <c r="G26" s="164"/>
      <c r="H26" s="171">
        <f t="shared" si="0"/>
        <v>0</v>
      </c>
      <c r="I26" s="165"/>
      <c r="J26" s="132">
        <f>IFERROR('BDD FE'!$C$109*H26/100*VLOOKUP(I26,'BDD FE'!$B$306:$D$309,2,0)*10^-3,0)</f>
        <v>0</v>
      </c>
      <c r="K26" s="125"/>
      <c r="L26" s="639"/>
      <c r="M26" s="640"/>
      <c r="N26" s="641"/>
    </row>
    <row r="27" spans="1:14">
      <c r="B27" s="145"/>
      <c r="C27" s="165"/>
      <c r="D27" s="164"/>
      <c r="E27" s="164"/>
      <c r="F27" s="164"/>
      <c r="G27" s="164"/>
      <c r="H27" s="171">
        <f t="shared" si="0"/>
        <v>0</v>
      </c>
      <c r="I27" s="165"/>
      <c r="J27" s="132">
        <f>IFERROR('BDD FE'!$C$109*H27/100*VLOOKUP(I27,'BDD FE'!$B$306:$D$309,2,0)*10^-3,0)</f>
        <v>0</v>
      </c>
      <c r="K27" s="125"/>
      <c r="L27" s="613" t="s">
        <v>3459</v>
      </c>
      <c r="M27" s="614"/>
      <c r="N27" s="615"/>
    </row>
    <row r="28" spans="1:14">
      <c r="B28" s="145"/>
      <c r="C28" s="165"/>
      <c r="D28" s="164"/>
      <c r="E28" s="164"/>
      <c r="F28" s="164"/>
      <c r="G28" s="164"/>
      <c r="H28" s="171">
        <f t="shared" si="0"/>
        <v>0</v>
      </c>
      <c r="I28" s="165"/>
      <c r="J28" s="132">
        <f>IFERROR('BDD FE'!$C$109*H28/100*VLOOKUP(I28,'BDD FE'!$B$306:$D$309,2,0)*10^-3,0)</f>
        <v>0</v>
      </c>
      <c r="K28" s="125"/>
      <c r="L28" s="633"/>
      <c r="M28" s="634"/>
      <c r="N28" s="635"/>
    </row>
    <row r="29" spans="1:14">
      <c r="B29" s="145"/>
      <c r="C29" s="165"/>
      <c r="D29" s="164"/>
      <c r="E29" s="164"/>
      <c r="F29" s="164"/>
      <c r="G29" s="164"/>
      <c r="H29" s="171">
        <f t="shared" si="0"/>
        <v>0</v>
      </c>
      <c r="I29" s="165"/>
      <c r="J29" s="132">
        <f>IFERROR('BDD FE'!$C$109*H29/100*VLOOKUP(I29,'BDD FE'!$B$306:$D$309,2,0)*10^-3,0)</f>
        <v>0</v>
      </c>
      <c r="K29" s="125"/>
      <c r="L29" s="633"/>
      <c r="M29" s="634"/>
      <c r="N29" s="635"/>
    </row>
    <row r="30" spans="1:14">
      <c r="B30" s="145"/>
      <c r="C30" s="165"/>
      <c r="D30" s="164"/>
      <c r="E30" s="164"/>
      <c r="F30" s="164"/>
      <c r="G30" s="164"/>
      <c r="H30" s="171">
        <f t="shared" si="0"/>
        <v>0</v>
      </c>
      <c r="I30" s="165"/>
      <c r="J30" s="132">
        <f>IFERROR('BDD FE'!$C$109*H30/100*VLOOKUP(I30,'BDD FE'!$B$306:$D$309,2,0)*10^-3,0)</f>
        <v>0</v>
      </c>
      <c r="K30" s="125"/>
      <c r="L30" s="633"/>
      <c r="M30" s="634"/>
      <c r="N30" s="635"/>
    </row>
    <row r="31" spans="1:14">
      <c r="B31" s="145"/>
      <c r="C31" s="165"/>
      <c r="D31" s="164"/>
      <c r="E31" s="164"/>
      <c r="F31" s="164"/>
      <c r="G31" s="164"/>
      <c r="H31" s="171">
        <f t="shared" ref="H31:H40" si="1">F31*G31</f>
        <v>0</v>
      </c>
      <c r="I31" s="165"/>
      <c r="J31" s="132">
        <f>IFERROR('BDD FE'!$C$109*H31/100*VLOOKUP(I31,'BDD FE'!$B$306:$D$309,2,0)*10^-3,0)</f>
        <v>0</v>
      </c>
      <c r="K31" s="125"/>
      <c r="L31" s="633"/>
      <c r="M31" s="634"/>
      <c r="N31" s="635"/>
    </row>
    <row r="32" spans="1:14">
      <c r="B32" s="145"/>
      <c r="C32" s="165"/>
      <c r="D32" s="164"/>
      <c r="E32" s="164"/>
      <c r="F32" s="164"/>
      <c r="G32" s="164"/>
      <c r="H32" s="171">
        <f t="shared" si="1"/>
        <v>0</v>
      </c>
      <c r="I32" s="165"/>
      <c r="J32" s="132">
        <f>IFERROR('BDD FE'!$C$109*H32/100*VLOOKUP(I32,'BDD FE'!$B$306:$D$309,2,0)*10^-3,0)</f>
        <v>0</v>
      </c>
      <c r="K32" s="125"/>
      <c r="L32" s="633"/>
      <c r="M32" s="634"/>
      <c r="N32" s="635"/>
    </row>
    <row r="33" spans="2:14">
      <c r="B33" s="145"/>
      <c r="C33" s="165"/>
      <c r="D33" s="164"/>
      <c r="E33" s="164"/>
      <c r="F33" s="164"/>
      <c r="G33" s="164"/>
      <c r="H33" s="171">
        <f t="shared" si="1"/>
        <v>0</v>
      </c>
      <c r="I33" s="165"/>
      <c r="J33" s="132">
        <f>IFERROR('BDD FE'!$C$109*H33/100*VLOOKUP(I33,'BDD FE'!$B$306:$D$309,2,0)*10^-3,0)</f>
        <v>0</v>
      </c>
      <c r="K33" s="125"/>
      <c r="L33" s="633"/>
      <c r="M33" s="634"/>
      <c r="N33" s="635"/>
    </row>
    <row r="34" spans="2:14">
      <c r="B34" s="145"/>
      <c r="C34" s="165"/>
      <c r="D34" s="164"/>
      <c r="E34" s="164"/>
      <c r="F34" s="164"/>
      <c r="G34" s="164"/>
      <c r="H34" s="171">
        <f t="shared" si="1"/>
        <v>0</v>
      </c>
      <c r="I34" s="165"/>
      <c r="J34" s="132">
        <f>IFERROR('BDD FE'!$C$109*H34/100*VLOOKUP(I34,'BDD FE'!$B$306:$D$309,2,0)*10^-3,0)</f>
        <v>0</v>
      </c>
      <c r="K34" s="125"/>
      <c r="L34" s="633"/>
      <c r="M34" s="634"/>
      <c r="N34" s="635"/>
    </row>
    <row r="35" spans="2:14">
      <c r="B35" s="145"/>
      <c r="C35" s="165"/>
      <c r="D35" s="164"/>
      <c r="E35" s="164"/>
      <c r="F35" s="164"/>
      <c r="G35" s="164"/>
      <c r="H35" s="171">
        <f t="shared" si="1"/>
        <v>0</v>
      </c>
      <c r="I35" s="165"/>
      <c r="J35" s="132">
        <f>IFERROR('BDD FE'!$C$109*H35/100*VLOOKUP(I35,'BDD FE'!$B$306:$D$309,2,0)*10^-3,0)</f>
        <v>0</v>
      </c>
      <c r="K35" s="125"/>
      <c r="L35" s="633"/>
      <c r="M35" s="634"/>
      <c r="N35" s="635"/>
    </row>
    <row r="36" spans="2:14">
      <c r="B36" s="145"/>
      <c r="C36" s="165"/>
      <c r="D36" s="164"/>
      <c r="E36" s="164"/>
      <c r="F36" s="164"/>
      <c r="G36" s="164"/>
      <c r="H36" s="171">
        <f t="shared" si="1"/>
        <v>0</v>
      </c>
      <c r="I36" s="165"/>
      <c r="J36" s="132">
        <f>IFERROR('BDD FE'!$C$109*H36/100*VLOOKUP(I36,'BDD FE'!$B$306:$D$309,2,0)*10^-3,0)</f>
        <v>0</v>
      </c>
      <c r="K36" s="125"/>
      <c r="L36" s="633"/>
      <c r="M36" s="634"/>
      <c r="N36" s="635"/>
    </row>
    <row r="37" spans="2:14">
      <c r="B37" s="145"/>
      <c r="C37" s="165"/>
      <c r="D37" s="164"/>
      <c r="E37" s="164"/>
      <c r="F37" s="164"/>
      <c r="G37" s="164"/>
      <c r="H37" s="171">
        <f t="shared" si="1"/>
        <v>0</v>
      </c>
      <c r="I37" s="165"/>
      <c r="J37" s="132">
        <f>IFERROR('BDD FE'!$C$109*H37/100*VLOOKUP(I37,'BDD FE'!$B$306:$D$309,2,0)*10^-3,0)</f>
        <v>0</v>
      </c>
      <c r="K37" s="125"/>
      <c r="L37" s="633"/>
      <c r="M37" s="634"/>
      <c r="N37" s="635"/>
    </row>
    <row r="38" spans="2:14">
      <c r="B38" s="145"/>
      <c r="C38" s="165"/>
      <c r="D38" s="164"/>
      <c r="E38" s="164"/>
      <c r="F38" s="164"/>
      <c r="G38" s="164"/>
      <c r="H38" s="171">
        <f t="shared" si="1"/>
        <v>0</v>
      </c>
      <c r="I38" s="165"/>
      <c r="J38" s="132">
        <f>IFERROR('BDD FE'!$C$109*H38/100*VLOOKUP(I38,'BDD FE'!$B$306:$D$309,2,0)*10^-3,0)</f>
        <v>0</v>
      </c>
      <c r="K38" s="125"/>
      <c r="L38" s="633"/>
      <c r="M38" s="634"/>
      <c r="N38" s="635"/>
    </row>
    <row r="39" spans="2:14">
      <c r="B39" s="145"/>
      <c r="C39" s="165"/>
      <c r="D39" s="164"/>
      <c r="E39" s="164"/>
      <c r="F39" s="164"/>
      <c r="G39" s="164"/>
      <c r="H39" s="171">
        <f t="shared" si="1"/>
        <v>0</v>
      </c>
      <c r="I39" s="165"/>
      <c r="J39" s="132">
        <f>IFERROR('BDD FE'!$C$109*H39/100*VLOOKUP(I39,'BDD FE'!$B$306:$D$309,2,0)*10^-3,0)</f>
        <v>0</v>
      </c>
      <c r="K39" s="125"/>
      <c r="L39" s="633"/>
      <c r="M39" s="634"/>
      <c r="N39" s="635"/>
    </row>
    <row r="40" spans="2:14">
      <c r="B40" s="145"/>
      <c r="C40" s="165"/>
      <c r="D40" s="164"/>
      <c r="E40" s="164"/>
      <c r="F40" s="164"/>
      <c r="G40" s="164"/>
      <c r="H40" s="171">
        <f t="shared" si="1"/>
        <v>0</v>
      </c>
      <c r="I40" s="165"/>
      <c r="J40" s="132">
        <f>IFERROR('BDD FE'!$C$109*H40/100*VLOOKUP(I40,'BDD FE'!$B$306:$D$309,2,0)*10^-3,0)</f>
        <v>0</v>
      </c>
      <c r="K40" s="125"/>
      <c r="L40" s="633"/>
      <c r="M40" s="634"/>
      <c r="N40" s="635"/>
    </row>
    <row r="41" spans="2:14">
      <c r="B41" s="145"/>
      <c r="C41" s="130"/>
      <c r="D41" s="130"/>
      <c r="E41" s="130"/>
      <c r="F41" s="130"/>
      <c r="G41" s="130"/>
      <c r="H41" s="130"/>
      <c r="I41" s="130"/>
      <c r="J41" s="132">
        <f>SUM(J13:J40)</f>
        <v>0</v>
      </c>
      <c r="K41" s="125"/>
      <c r="L41" s="639"/>
      <c r="M41" s="640"/>
      <c r="N41" s="641"/>
    </row>
    <row r="42" spans="2:14">
      <c r="B42" s="145"/>
      <c r="C42" s="130"/>
      <c r="D42" s="130"/>
      <c r="E42" s="130"/>
      <c r="F42" s="130"/>
      <c r="G42" s="130"/>
      <c r="H42" s="130"/>
      <c r="I42" s="130"/>
      <c r="J42" s="130"/>
      <c r="K42" s="125"/>
      <c r="L42" s="145"/>
      <c r="N42" s="149"/>
    </row>
    <row r="43" spans="2:14">
      <c r="B43" s="145"/>
      <c r="K43" s="149"/>
      <c r="L43" s="145"/>
      <c r="N43" s="149"/>
    </row>
    <row r="44" spans="2:14">
      <c r="B44" s="145"/>
      <c r="K44" s="149"/>
      <c r="L44" s="145"/>
      <c r="N44" s="149"/>
    </row>
    <row r="45" spans="2:14">
      <c r="B45" s="145"/>
      <c r="K45" s="149"/>
      <c r="L45" s="145"/>
      <c r="N45" s="149"/>
    </row>
    <row r="46" spans="2:14" ht="15" thickBot="1">
      <c r="B46" s="150"/>
      <c r="C46" s="179"/>
      <c r="D46" s="179"/>
      <c r="E46" s="179"/>
      <c r="F46" s="179"/>
      <c r="G46" s="179"/>
      <c r="H46" s="179"/>
      <c r="I46" s="179"/>
      <c r="J46" s="179"/>
      <c r="K46" s="152"/>
      <c r="L46" s="150"/>
      <c r="M46" s="151"/>
      <c r="N46" s="152"/>
    </row>
    <row r="47" spans="2:14"/>
    <row r="48" spans="2:14"/>
  </sheetData>
  <protectedRanges>
    <protectedRange sqref="C13:I40" name="Plage1"/>
    <protectedRange sqref="L3 L8:L11 L28:L38" name="Plage1_1"/>
  </protectedRanges>
  <mergeCells count="10">
    <mergeCell ref="A1:A2"/>
    <mergeCell ref="L27:N27"/>
    <mergeCell ref="L28:N41"/>
    <mergeCell ref="B1:K1"/>
    <mergeCell ref="C10:J10"/>
    <mergeCell ref="L1:N1"/>
    <mergeCell ref="C4:J9"/>
    <mergeCell ref="L2:N2"/>
    <mergeCell ref="L3:N6"/>
    <mergeCell ref="L8:N26"/>
  </mergeCells>
  <dataValidations count="1">
    <dataValidation type="list" allowBlank="1" showInputMessage="1" showErrorMessage="1" sqref="C13:C40" xr:uid="{00000000-0002-0000-0A00-000000000000}">
      <formula1>"Matériel sur site, Matériel accueilli"</formula1>
    </dataValidation>
  </dataValidations>
  <hyperlinks>
    <hyperlink ref="C10:J10" location="'xx_Tournées artistiques'!A1" display="&gt; Tournées artistiques" xr:uid="{00000000-0004-0000-0A00-000000000000}"/>
    <hyperlink ref="A6" location="'1_Votre Structure'!A1" display="Votre structure" xr:uid="{0D87DF00-7B4F-4E4F-B6AD-83FAC0E0CAF1}"/>
    <hyperlink ref="A7" location="'2_ConsoEnergieEau'!A1" display="Consommation d'énergie et d'eau" xr:uid="{FCF34201-1CE6-4919-AF69-5A2DCBB22A0F}"/>
    <hyperlink ref="A8" location="'3_Climatisation'!A1" display="Climatisation" xr:uid="{A4D5203B-92A9-4668-95E1-0EBC10AD56E4}"/>
    <hyperlink ref="A12" location="'7_DéplacementsProfessionnels'!A1" display="Déplacements professionnels" xr:uid="{E65B7B6B-5FA8-4635-A5D7-0BF597CF46B1}"/>
    <hyperlink ref="A13" location="'8_DéplacementsSalariés'!A1" display="Déplacements des salariés" xr:uid="{F7C8ECC5-5166-43D4-94E0-2690BB857A1C}"/>
    <hyperlink ref="A17" location="'12_Equipements'!A1" display="Equipements" xr:uid="{4BE250A2-4714-418F-9253-110B13EBE252}"/>
    <hyperlink ref="A10" location="'5_Déchets'!A1" display="Déchets" xr:uid="{02632376-1E3A-4475-B929-FD4DDAB352F1}"/>
    <hyperlink ref="A22" location="'17_TransportMatériel'!A1" display="Transport de matériel et d'œuvres" xr:uid="{9341D38C-9DA5-4659-9875-6F7B220410F9}"/>
    <hyperlink ref="A23" location="'18_ImpressionsComPapier'!A1" display="Impression et communication papier" xr:uid="{00963AE3-A7DA-45DB-AE5E-2C7C39C3A817}"/>
    <hyperlink ref="A24" location="'19_ComDigitale'!A1" display="Communication digitale" xr:uid="{9714402D-FE62-47B7-9AD4-D66484391AB4}"/>
    <hyperlink ref="A25" location="'20_Billetterie'!A1" display="Billetterie" xr:uid="{9FA07955-9397-4658-8162-D16C0A8E9FCF}"/>
    <hyperlink ref="A20" location="'15_Alimentation'!A1" display="Alimentation" xr:uid="{BD2CD367-5FAC-49DD-AFBE-2B5262E74E97}"/>
    <hyperlink ref="A14" location="'9_DéplacementsVisiteurs'!A1" display="Déplacements des visiteurs" xr:uid="{23375E5D-D920-41AD-9174-C6ECFD0FD085}"/>
    <hyperlink ref="A15" location="'10_Tournées artistiques'!A1" display="Tournées artistiques" xr:uid="{81F9DDC7-3A3D-4CE3-A5BA-1250B569C0BC}"/>
    <hyperlink ref="A16" location="'11_Artistes invité.e.s'!A1" display="Artistes invité.e.s" xr:uid="{55A6E230-4BD5-4D27-801A-1BD4A10E5127}"/>
    <hyperlink ref="A9" location="'4_Bâtiments,travaux, agcmt'!A1" display="Bâtiments, travaux et agencements" xr:uid="{EACC0727-A507-4E6A-9ED0-C3BBBB93F456}"/>
    <hyperlink ref="A18" location="'13_Achats - Documents papiers'!A1" display="Achats - Documents papiers" xr:uid="{5D63ED34-5E9F-4D77-A081-9D9D69093A07}"/>
    <hyperlink ref="A21" location="'16_Autres achats (€)'!A1" display="Autres achats" xr:uid="{74EABC6A-0A82-47A9-BF6A-9C4CEB2936B1}"/>
    <hyperlink ref="A19" location="'14_Décors'!A1" display="Décors" xr:uid="{38575E78-FAEE-40FC-BE6A-E0EA352BC4C4}"/>
    <hyperlink ref="A11" location="'6_DéplacementsPrestations'!A1" display="Déplacements de prestations" xr:uid="{DBDCF056-540E-4B27-9F9E-3369931A558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'BDD FE'!$B$306:$B$309</xm:f>
          </x14:formula1>
          <xm:sqref>I13:I40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F5AC-D050-4756-AEF3-4507CA78C827}">
  <sheetPr>
    <tabColor theme="6" tint="0.79998168889431442"/>
  </sheetPr>
  <dimension ref="A1:AD79"/>
  <sheetViews>
    <sheetView showGridLines="0" topLeftCell="M43" zoomScaleNormal="100" workbookViewId="0">
      <selection activeCell="F46" sqref="F46:K49"/>
    </sheetView>
  </sheetViews>
  <sheetFormatPr baseColWidth="10" defaultColWidth="0" defaultRowHeight="14.5" zeroHeight="1"/>
  <cols>
    <col min="1" max="1" width="25.81640625" bestFit="1" customWidth="1"/>
    <col min="2" max="5" width="11.81640625" style="112" customWidth="1"/>
    <col min="6" max="6" width="14.36328125" style="112" customWidth="1"/>
    <col min="7" max="14" width="11.81640625" style="112" customWidth="1"/>
    <col min="15" max="15" width="14.54296875" style="112" customWidth="1"/>
    <col min="16" max="26" width="11.81640625" style="112" customWidth="1"/>
    <col min="27" max="29" width="11.1796875" customWidth="1"/>
    <col min="30" max="30" width="11.453125" style="112" customWidth="1"/>
    <col min="31" max="16384" width="11.453125" style="112" hidden="1"/>
  </cols>
  <sheetData>
    <row r="1" spans="1:29" ht="21.25" customHeight="1" thickBot="1">
      <c r="A1" s="647" t="s">
        <v>3359</v>
      </c>
      <c r="B1" s="649" t="s">
        <v>3442</v>
      </c>
      <c r="C1" s="688"/>
      <c r="D1" s="688"/>
      <c r="E1" s="688"/>
      <c r="F1" s="688"/>
      <c r="G1" s="688"/>
      <c r="H1" s="688"/>
      <c r="I1" s="688"/>
      <c r="J1" s="688"/>
      <c r="K1" s="688"/>
      <c r="L1" s="688"/>
      <c r="M1" s="688"/>
      <c r="N1" s="688"/>
      <c r="O1" s="688"/>
      <c r="P1" s="688"/>
      <c r="Q1" s="688"/>
      <c r="R1" s="688"/>
      <c r="S1" s="688"/>
      <c r="T1" s="688"/>
      <c r="U1" s="688"/>
      <c r="V1" s="688"/>
      <c r="W1" s="688"/>
      <c r="X1" s="688"/>
      <c r="Y1" s="688"/>
      <c r="Z1" s="713"/>
      <c r="AA1" s="656" t="s">
        <v>3391</v>
      </c>
      <c r="AB1" s="657"/>
      <c r="AC1" s="658"/>
    </row>
    <row r="2" spans="1:29" ht="18.5" customHeight="1" thickBot="1">
      <c r="A2" s="648"/>
      <c r="B2" s="127"/>
      <c r="C2" s="111"/>
      <c r="D2" s="111"/>
      <c r="E2" s="111"/>
      <c r="H2" s="111"/>
      <c r="I2" s="111"/>
      <c r="J2" s="111"/>
      <c r="K2" s="111"/>
      <c r="L2" s="111"/>
      <c r="M2" s="714">
        <f>SUM(I30:J30,C61:X61)</f>
        <v>0</v>
      </c>
      <c r="N2" s="715"/>
      <c r="O2" s="111"/>
      <c r="P2" s="111"/>
      <c r="Q2" s="111"/>
      <c r="R2" s="111"/>
      <c r="S2" s="111"/>
      <c r="T2" s="111"/>
      <c r="U2" s="111"/>
      <c r="V2" s="111"/>
      <c r="W2" s="111"/>
      <c r="X2" s="111"/>
      <c r="Y2" s="111"/>
      <c r="Z2" s="111"/>
      <c r="AA2" s="613" t="s">
        <v>3457</v>
      </c>
      <c r="AB2" s="614"/>
      <c r="AC2" s="615"/>
    </row>
    <row r="3" spans="1:29">
      <c r="A3" s="338"/>
      <c r="B3" s="127"/>
      <c r="E3" s="111"/>
      <c r="F3" s="111"/>
      <c r="G3" s="111"/>
      <c r="H3" s="111"/>
      <c r="I3" s="111"/>
      <c r="J3" s="111"/>
      <c r="K3" s="111"/>
      <c r="L3" s="111"/>
      <c r="M3" s="111"/>
      <c r="N3" s="111"/>
      <c r="O3" s="111"/>
      <c r="P3" s="111"/>
      <c r="Q3" s="111"/>
      <c r="R3" s="111"/>
      <c r="S3" s="111"/>
      <c r="T3" s="111"/>
      <c r="U3" s="111"/>
      <c r="V3" s="111"/>
      <c r="W3" s="111"/>
      <c r="X3" s="111"/>
      <c r="Y3" s="111"/>
      <c r="Z3" s="111"/>
      <c r="AA3" s="633"/>
      <c r="AB3" s="634"/>
      <c r="AC3" s="635"/>
    </row>
    <row r="4" spans="1:29">
      <c r="A4" s="338"/>
      <c r="B4" s="127"/>
      <c r="C4" s="642" t="s">
        <v>3413</v>
      </c>
      <c r="D4" s="643"/>
      <c r="E4" s="643"/>
      <c r="F4" s="643"/>
      <c r="G4" s="643"/>
      <c r="H4" s="643"/>
      <c r="I4" s="643"/>
      <c r="J4" s="643"/>
      <c r="K4" s="111"/>
      <c r="L4" s="111"/>
      <c r="M4" s="111"/>
      <c r="N4" s="111"/>
      <c r="O4" s="111"/>
      <c r="P4" s="111"/>
      <c r="Q4" s="111"/>
      <c r="R4" s="111"/>
      <c r="S4" s="111"/>
      <c r="T4" s="111"/>
      <c r="U4" s="111"/>
      <c r="V4" s="111"/>
      <c r="W4" s="111"/>
      <c r="X4" s="111"/>
      <c r="Y4" s="111"/>
      <c r="Z4" s="111"/>
      <c r="AA4" s="633"/>
      <c r="AB4" s="634"/>
      <c r="AC4" s="635"/>
    </row>
    <row r="5" spans="1:29" ht="14.4" customHeight="1">
      <c r="A5" s="338"/>
      <c r="B5" s="127"/>
      <c r="C5" s="629" t="s">
        <v>3375</v>
      </c>
      <c r="D5" s="630"/>
      <c r="E5" s="630"/>
      <c r="F5" s="630"/>
      <c r="G5" s="630"/>
      <c r="H5" s="630"/>
      <c r="I5" s="630"/>
      <c r="J5" s="630"/>
      <c r="K5" s="111"/>
      <c r="L5" s="111"/>
      <c r="M5" s="111"/>
      <c r="N5" s="111"/>
      <c r="O5" s="111"/>
      <c r="P5" s="111"/>
      <c r="Q5" s="111"/>
      <c r="R5" s="111"/>
      <c r="S5" s="111"/>
      <c r="T5" s="111"/>
      <c r="U5" s="111"/>
      <c r="V5" s="111"/>
      <c r="W5" s="111"/>
      <c r="X5" s="111"/>
      <c r="Y5" s="111"/>
      <c r="Z5" s="111"/>
      <c r="AA5" s="633"/>
      <c r="AB5" s="634"/>
      <c r="AC5" s="635"/>
    </row>
    <row r="6" spans="1:29" ht="12.9" customHeight="1">
      <c r="A6" s="341" t="s">
        <v>3357</v>
      </c>
      <c r="B6" s="127"/>
      <c r="C6" s="630"/>
      <c r="D6" s="630"/>
      <c r="E6" s="630"/>
      <c r="F6" s="630"/>
      <c r="G6" s="630"/>
      <c r="H6" s="630"/>
      <c r="I6" s="630"/>
      <c r="J6" s="630"/>
      <c r="K6" s="111"/>
      <c r="L6" s="111"/>
      <c r="M6" s="111"/>
      <c r="N6" s="111"/>
      <c r="O6" s="111"/>
      <c r="P6" s="111"/>
      <c r="Q6" s="111"/>
      <c r="R6" s="111"/>
      <c r="S6" s="111"/>
      <c r="T6" s="111"/>
      <c r="U6" s="111"/>
      <c r="V6" s="111"/>
      <c r="W6" s="111"/>
      <c r="X6" s="111"/>
      <c r="Y6" s="111"/>
      <c r="Z6" s="111"/>
      <c r="AA6" s="639"/>
      <c r="AB6" s="640"/>
      <c r="AC6" s="641"/>
    </row>
    <row r="7" spans="1:29" ht="12.9" customHeight="1">
      <c r="A7" s="339" t="s">
        <v>3434</v>
      </c>
      <c r="B7" s="127"/>
      <c r="C7" s="630"/>
      <c r="D7" s="630"/>
      <c r="E7" s="630"/>
      <c r="F7" s="630"/>
      <c r="G7" s="630"/>
      <c r="H7" s="630"/>
      <c r="I7" s="630"/>
      <c r="J7" s="630"/>
      <c r="K7" s="111"/>
      <c r="L7" s="111"/>
      <c r="M7" s="111"/>
      <c r="N7" s="111"/>
      <c r="O7" s="111"/>
      <c r="P7" s="111"/>
      <c r="Q7" s="111"/>
      <c r="R7" s="111"/>
      <c r="S7" s="111"/>
      <c r="T7" s="111"/>
      <c r="U7" s="111"/>
      <c r="V7" s="111"/>
      <c r="W7" s="111"/>
      <c r="X7" s="111"/>
      <c r="Y7" s="111"/>
      <c r="Z7" s="111"/>
      <c r="AA7" s="246" t="s">
        <v>3458</v>
      </c>
      <c r="AB7" s="343"/>
      <c r="AC7" s="344"/>
    </row>
    <row r="8" spans="1:29" ht="12.9" customHeight="1">
      <c r="A8" s="339" t="s">
        <v>7</v>
      </c>
      <c r="B8" s="127"/>
      <c r="C8" s="630"/>
      <c r="D8" s="630"/>
      <c r="E8" s="630"/>
      <c r="F8" s="630"/>
      <c r="G8" s="630"/>
      <c r="H8" s="630"/>
      <c r="I8" s="630"/>
      <c r="J8" s="630"/>
      <c r="K8" s="111"/>
      <c r="L8" s="111"/>
      <c r="M8" s="111"/>
      <c r="N8" s="111"/>
      <c r="O8" s="111"/>
      <c r="P8" s="111"/>
      <c r="Q8" s="111"/>
      <c r="R8" s="111"/>
      <c r="S8" s="111"/>
      <c r="T8" s="111"/>
      <c r="U8" s="111"/>
      <c r="V8" s="111"/>
      <c r="W8" s="111"/>
      <c r="X8" s="111"/>
      <c r="Y8" s="111"/>
      <c r="Z8" s="111"/>
      <c r="AA8" s="633"/>
      <c r="AB8" s="634"/>
      <c r="AC8" s="635"/>
    </row>
    <row r="9" spans="1:29" ht="12.9" customHeight="1">
      <c r="A9" s="339" t="s">
        <v>3427</v>
      </c>
      <c r="B9" s="127"/>
      <c r="C9" s="630"/>
      <c r="D9" s="630"/>
      <c r="E9" s="630"/>
      <c r="F9" s="630"/>
      <c r="G9" s="630"/>
      <c r="H9" s="630"/>
      <c r="I9" s="630"/>
      <c r="J9" s="630"/>
      <c r="K9" s="111"/>
      <c r="L9" s="111"/>
      <c r="M9" s="111"/>
      <c r="N9" s="111"/>
      <c r="O9" s="111"/>
      <c r="P9" s="111"/>
      <c r="Q9" s="111"/>
      <c r="R9" s="111"/>
      <c r="S9" s="111"/>
      <c r="T9" s="111"/>
      <c r="U9" s="111"/>
      <c r="V9" s="111"/>
      <c r="W9" s="111"/>
      <c r="X9" s="111"/>
      <c r="Y9" s="111"/>
      <c r="Z9" s="111"/>
      <c r="AA9" s="633"/>
      <c r="AB9" s="634"/>
      <c r="AC9" s="635"/>
    </row>
    <row r="10" spans="1:29" ht="12.9" customHeight="1">
      <c r="A10" s="340" t="s">
        <v>10</v>
      </c>
      <c r="B10" s="127"/>
      <c r="C10" s="630"/>
      <c r="D10" s="630"/>
      <c r="E10" s="630"/>
      <c r="F10" s="630"/>
      <c r="G10" s="630"/>
      <c r="H10" s="630"/>
      <c r="I10" s="630"/>
      <c r="J10" s="630"/>
      <c r="K10" s="111"/>
      <c r="L10" s="111"/>
      <c r="M10" s="111"/>
      <c r="N10" s="111"/>
      <c r="O10" s="111"/>
      <c r="P10" s="111"/>
      <c r="Q10" s="111"/>
      <c r="R10" s="111"/>
      <c r="S10" s="111"/>
      <c r="T10" s="111"/>
      <c r="U10" s="111"/>
      <c r="V10" s="111"/>
      <c r="W10" s="111"/>
      <c r="X10" s="111"/>
      <c r="Y10" s="111"/>
      <c r="Z10" s="111"/>
      <c r="AA10" s="633"/>
      <c r="AB10" s="634"/>
      <c r="AC10" s="635"/>
    </row>
    <row r="11" spans="1:29" ht="12.9" customHeight="1">
      <c r="A11" s="340" t="s">
        <v>3645</v>
      </c>
      <c r="B11" s="127"/>
      <c r="C11" s="630"/>
      <c r="D11" s="630"/>
      <c r="E11" s="630"/>
      <c r="F11" s="630"/>
      <c r="G11" s="630"/>
      <c r="H11" s="630"/>
      <c r="I11" s="630"/>
      <c r="J11" s="630"/>
      <c r="K11" s="111"/>
      <c r="L11" s="111"/>
      <c r="M11" s="111"/>
      <c r="N11" s="111"/>
      <c r="O11" s="111"/>
      <c r="P11" s="111"/>
      <c r="Q11" s="111"/>
      <c r="R11" s="111"/>
      <c r="S11" s="111"/>
      <c r="T11" s="111"/>
      <c r="U11" s="111"/>
      <c r="V11" s="111"/>
      <c r="W11" s="111"/>
      <c r="X11" s="111"/>
      <c r="Y11" s="111"/>
      <c r="Z11" s="111"/>
      <c r="AA11" s="633"/>
      <c r="AB11" s="634"/>
      <c r="AC11" s="635"/>
    </row>
    <row r="12" spans="1:29" ht="12.9" customHeight="1">
      <c r="A12" s="339" t="s">
        <v>3431</v>
      </c>
      <c r="B12" s="127"/>
      <c r="C12" s="158"/>
      <c r="D12" s="301"/>
      <c r="E12" s="301"/>
      <c r="F12" s="301"/>
      <c r="G12" s="301"/>
      <c r="H12" s="301"/>
      <c r="I12" s="301"/>
      <c r="J12" s="301"/>
      <c r="K12" s="111"/>
      <c r="L12" s="111"/>
      <c r="M12" s="111"/>
      <c r="N12" s="111"/>
      <c r="O12" s="111"/>
      <c r="P12" s="111"/>
      <c r="Q12" s="111"/>
      <c r="R12" s="111"/>
      <c r="S12" s="111"/>
      <c r="T12" s="111"/>
      <c r="U12" s="111"/>
      <c r="V12" s="111"/>
      <c r="W12" s="111"/>
      <c r="X12" s="111"/>
      <c r="Y12" s="111"/>
      <c r="Z12" s="111"/>
      <c r="AA12" s="633"/>
      <c r="AB12" s="634"/>
      <c r="AC12" s="635"/>
    </row>
    <row r="13" spans="1:29" ht="14.4" customHeight="1">
      <c r="A13" s="340" t="s">
        <v>5</v>
      </c>
      <c r="B13" s="127"/>
      <c r="C13" s="111"/>
      <c r="D13" s="111"/>
      <c r="E13" s="111"/>
      <c r="F13" s="111"/>
      <c r="G13" s="111"/>
      <c r="H13" s="111"/>
      <c r="I13" s="111"/>
      <c r="J13" s="111"/>
      <c r="K13" s="111"/>
      <c r="L13" s="111"/>
      <c r="M13" s="492"/>
      <c r="N13" s="111"/>
      <c r="O13" s="111"/>
      <c r="P13" s="111"/>
      <c r="Q13" s="111"/>
      <c r="R13" s="111"/>
      <c r="S13" s="111"/>
      <c r="T13" s="111"/>
      <c r="U13" s="111"/>
      <c r="V13" s="111"/>
      <c r="W13" s="111"/>
      <c r="X13" s="111"/>
      <c r="Y13" s="111"/>
      <c r="Z13" s="111"/>
      <c r="AA13" s="633"/>
      <c r="AB13" s="634"/>
      <c r="AC13" s="635"/>
    </row>
    <row r="14" spans="1:29" ht="50">
      <c r="A14" s="339" t="s">
        <v>6</v>
      </c>
      <c r="B14" s="127"/>
      <c r="C14" s="117" t="s">
        <v>3365</v>
      </c>
      <c r="D14" s="117" t="s">
        <v>120</v>
      </c>
      <c r="E14" s="117" t="s">
        <v>121</v>
      </c>
      <c r="F14" s="117" t="s">
        <v>122</v>
      </c>
      <c r="G14" s="117" t="s">
        <v>123</v>
      </c>
      <c r="H14" s="117" t="s">
        <v>124</v>
      </c>
      <c r="I14" s="117" t="s">
        <v>125</v>
      </c>
      <c r="J14" s="117" t="s">
        <v>126</v>
      </c>
      <c r="K14" s="111"/>
      <c r="L14" s="111"/>
      <c r="M14" s="111"/>
      <c r="N14" s="111"/>
      <c r="O14" s="111"/>
      <c r="P14" s="111"/>
      <c r="Q14" s="111"/>
      <c r="R14" s="111"/>
      <c r="S14" s="111"/>
      <c r="T14" s="111"/>
      <c r="U14" s="111"/>
      <c r="V14" s="111"/>
      <c r="W14" s="111"/>
      <c r="X14" s="111"/>
      <c r="Y14" s="111"/>
      <c r="Z14" s="111"/>
      <c r="AA14" s="633"/>
      <c r="AB14" s="634"/>
      <c r="AC14" s="635"/>
    </row>
    <row r="15" spans="1:29" ht="12.9" customHeight="1">
      <c r="A15" s="340" t="s">
        <v>12</v>
      </c>
      <c r="B15" s="127"/>
      <c r="C15" s="163"/>
      <c r="D15" s="163"/>
      <c r="E15" s="118"/>
      <c r="F15" s="163"/>
      <c r="G15" s="118"/>
      <c r="H15" s="191">
        <f>IFERROR(VLOOKUP(G15,'BDD FE'!$D$313:$F$349,3,0)*F15*10^-3*D15,0)</f>
        <v>0</v>
      </c>
      <c r="I15" s="123">
        <f>H15*'BDD FE'!$C$367*10^-3</f>
        <v>0</v>
      </c>
      <c r="J15" s="123">
        <f>IFERROR(VLOOKUP(G15,'BDD FE'!$D$313:$F$349,3,0)*D15*IF(E15="Recto",1,2)*'BDD FE'!$C$364*10^-3,0)</f>
        <v>0</v>
      </c>
      <c r="K15" s="111"/>
      <c r="L15" s="111"/>
      <c r="M15" s="111"/>
      <c r="N15" s="111"/>
      <c r="O15" s="111"/>
      <c r="P15" s="111"/>
      <c r="Q15" s="111"/>
      <c r="R15" s="111"/>
      <c r="S15" s="111"/>
      <c r="T15" s="111"/>
      <c r="U15" s="111"/>
      <c r="V15" s="111"/>
      <c r="W15" s="111"/>
      <c r="X15" s="111"/>
      <c r="Y15" s="111"/>
      <c r="Z15" s="111"/>
      <c r="AA15" s="633"/>
      <c r="AB15" s="634"/>
      <c r="AC15" s="635"/>
    </row>
    <row r="16" spans="1:29" ht="12.9" customHeight="1">
      <c r="A16" s="340" t="s">
        <v>14</v>
      </c>
      <c r="B16" s="127"/>
      <c r="C16" s="163"/>
      <c r="D16" s="163"/>
      <c r="E16" s="118"/>
      <c r="F16" s="163"/>
      <c r="G16" s="118"/>
      <c r="H16" s="191">
        <f>IFERROR(VLOOKUP(G16,'BDD FE'!$D$313:$F$349,3,0)*F16*10^-3*D16,0)</f>
        <v>0</v>
      </c>
      <c r="I16" s="123">
        <f>H16*'BDD FE'!$C$367*10^-3</f>
        <v>0</v>
      </c>
      <c r="J16" s="123">
        <f>IFERROR(VLOOKUP(G16,'BDD FE'!$D$313:$F$349,3,0)*D16*IF(E16="Recto",1,2)*'BDD FE'!$C$364*10^-3,0)</f>
        <v>0</v>
      </c>
      <c r="K16" s="111"/>
      <c r="L16" s="111"/>
      <c r="M16" s="111"/>
      <c r="N16" s="111"/>
      <c r="O16" s="111"/>
      <c r="P16" s="111"/>
      <c r="Q16" s="111"/>
      <c r="R16" s="111"/>
      <c r="S16" s="111"/>
      <c r="T16" s="111"/>
      <c r="U16" s="111"/>
      <c r="V16" s="111"/>
      <c r="W16" s="111"/>
      <c r="X16" s="111"/>
      <c r="Y16" s="111"/>
      <c r="Z16" s="111"/>
      <c r="AA16" s="633"/>
      <c r="AB16" s="634"/>
      <c r="AC16" s="635"/>
    </row>
    <row r="17" spans="1:29" ht="12.9" customHeight="1">
      <c r="A17" s="339" t="s">
        <v>3426</v>
      </c>
      <c r="B17" s="127"/>
      <c r="C17" s="163"/>
      <c r="D17" s="163"/>
      <c r="E17" s="118"/>
      <c r="F17" s="163"/>
      <c r="G17" s="118"/>
      <c r="H17" s="191">
        <f>IFERROR(VLOOKUP(G17,'BDD FE'!$D$313:$F$349,3,0)*F17*10^-3*D17,0)</f>
        <v>0</v>
      </c>
      <c r="I17" s="123">
        <f>H17*'BDD FE'!$C$367*10^-3</f>
        <v>0</v>
      </c>
      <c r="J17" s="123">
        <f>IFERROR(VLOOKUP(G17,'BDD FE'!$D$313:$F$349,3,0)*D17*IF(E17="Recto",1,2)*'BDD FE'!$C$364*10^-3,0)</f>
        <v>0</v>
      </c>
      <c r="K17" s="111"/>
      <c r="L17" s="111"/>
      <c r="M17" s="111"/>
      <c r="N17" s="111"/>
      <c r="O17" s="111"/>
      <c r="P17" s="111"/>
      <c r="Q17" s="111"/>
      <c r="R17" s="111"/>
      <c r="S17" s="111"/>
      <c r="T17" s="111"/>
      <c r="U17" s="111"/>
      <c r="V17" s="111"/>
      <c r="W17" s="111"/>
      <c r="X17" s="111"/>
      <c r="Y17" s="111"/>
      <c r="Z17" s="111"/>
      <c r="AA17" s="633"/>
      <c r="AB17" s="634"/>
      <c r="AC17" s="635"/>
    </row>
    <row r="18" spans="1:29" ht="12.9" customHeight="1">
      <c r="A18" s="340" t="s">
        <v>3918</v>
      </c>
      <c r="B18" s="127"/>
      <c r="C18" s="163"/>
      <c r="D18" s="163"/>
      <c r="E18" s="118"/>
      <c r="F18" s="163"/>
      <c r="G18" s="118"/>
      <c r="H18" s="191">
        <f>IFERROR(VLOOKUP(G18,'BDD FE'!$D$313:$F$349,3,0)*F18*10^-3*D18,0)</f>
        <v>0</v>
      </c>
      <c r="I18" s="123">
        <f>H18*'BDD FE'!$C$367*10^-3</f>
        <v>0</v>
      </c>
      <c r="J18" s="123">
        <f>IFERROR(VLOOKUP(G18,'BDD FE'!$D$313:$F$349,3,0)*D18*IF(E18="Recto",1,2)*'BDD FE'!$C$364*10^-3,0)</f>
        <v>0</v>
      </c>
      <c r="K18" s="111"/>
      <c r="L18" s="111"/>
      <c r="M18" s="111"/>
      <c r="N18" s="111"/>
      <c r="O18" s="111"/>
      <c r="P18" s="111"/>
      <c r="Q18" s="111"/>
      <c r="R18" s="111"/>
      <c r="S18" s="111"/>
      <c r="T18" s="111"/>
      <c r="U18" s="111"/>
      <c r="V18" s="111"/>
      <c r="W18" s="111"/>
      <c r="X18" s="111"/>
      <c r="Y18" s="111"/>
      <c r="Z18" s="111"/>
      <c r="AA18" s="633"/>
      <c r="AB18" s="634"/>
      <c r="AC18" s="635"/>
    </row>
    <row r="19" spans="1:29" ht="12.9" customHeight="1">
      <c r="A19" s="340" t="s">
        <v>3436</v>
      </c>
      <c r="B19" s="127"/>
      <c r="C19" s="163"/>
      <c r="D19" s="163"/>
      <c r="E19" s="118"/>
      <c r="F19" s="163"/>
      <c r="G19" s="118"/>
      <c r="H19" s="191">
        <f>IFERROR(VLOOKUP(G19,'BDD FE'!$D$313:$F$349,3,0)*F19*10^-3*D19,0)</f>
        <v>0</v>
      </c>
      <c r="I19" s="123">
        <f>H19*'BDD FE'!$C$367*10^-3</f>
        <v>0</v>
      </c>
      <c r="J19" s="123">
        <f>IFERROR(VLOOKUP(G19,'BDD FE'!$D$313:$F$349,3,0)*D19*IF(E19="Recto",1,2)*'BDD FE'!$C$364*10^-3,0)</f>
        <v>0</v>
      </c>
      <c r="K19" s="111"/>
      <c r="L19" s="111"/>
      <c r="M19" s="111"/>
      <c r="N19" s="111"/>
      <c r="O19" s="111"/>
      <c r="P19" s="111"/>
      <c r="Q19" s="111"/>
      <c r="R19" s="111"/>
      <c r="S19" s="111"/>
      <c r="T19" s="111"/>
      <c r="U19" s="111"/>
      <c r="V19" s="111"/>
      <c r="W19" s="111"/>
      <c r="X19" s="111"/>
      <c r="Y19" s="111"/>
      <c r="Z19" s="111"/>
      <c r="AA19" s="633"/>
      <c r="AB19" s="634"/>
      <c r="AC19" s="635"/>
    </row>
    <row r="20" spans="1:29" ht="12.9" customHeight="1">
      <c r="A20" s="340" t="s">
        <v>3378</v>
      </c>
      <c r="B20" s="127"/>
      <c r="C20" s="163"/>
      <c r="D20" s="163"/>
      <c r="E20" s="118"/>
      <c r="F20" s="163"/>
      <c r="G20" s="118"/>
      <c r="H20" s="191">
        <f>IFERROR(VLOOKUP(G20,'BDD FE'!$D$313:$F$349,3,0)*F20*10^-3*D20,0)</f>
        <v>0</v>
      </c>
      <c r="I20" s="123">
        <f>H20*'BDD FE'!$C$367*10^-3</f>
        <v>0</v>
      </c>
      <c r="J20" s="123">
        <f>IFERROR(VLOOKUP(G20,'BDD FE'!$D$313:$F$349,3,0)*D20*IF(E20="Recto",1,2)*'BDD FE'!$C$364*10^-3,0)</f>
        <v>0</v>
      </c>
      <c r="K20" s="111"/>
      <c r="L20" s="111"/>
      <c r="M20" s="111"/>
      <c r="N20" s="111"/>
      <c r="O20" s="111"/>
      <c r="P20" s="111"/>
      <c r="Q20" s="111"/>
      <c r="R20" s="111"/>
      <c r="S20" s="111"/>
      <c r="T20" s="111"/>
      <c r="U20" s="111"/>
      <c r="V20" s="111"/>
      <c r="W20" s="111"/>
      <c r="X20" s="111"/>
      <c r="Y20" s="111"/>
      <c r="Z20" s="111"/>
      <c r="AA20" s="633"/>
      <c r="AB20" s="634"/>
      <c r="AC20" s="635"/>
    </row>
    <row r="21" spans="1:29" ht="12.9" customHeight="1">
      <c r="A21" s="339" t="s">
        <v>3430</v>
      </c>
      <c r="B21" s="127"/>
      <c r="C21" s="163"/>
      <c r="D21" s="163"/>
      <c r="E21" s="118"/>
      <c r="F21" s="163"/>
      <c r="G21" s="118"/>
      <c r="H21" s="191">
        <f>IFERROR(VLOOKUP(G21,'BDD FE'!$D$313:$F$349,3,0)*F21*10^-3*D21,0)</f>
        <v>0</v>
      </c>
      <c r="I21" s="123">
        <f>H21*'BDD FE'!$C$367*10^-3</f>
        <v>0</v>
      </c>
      <c r="J21" s="123">
        <f>IFERROR(VLOOKUP(G21,'BDD FE'!$D$313:$F$349,3,0)*D21*IF(E21="Recto",1,2)*'BDD FE'!$C$364*10^-3,0)</f>
        <v>0</v>
      </c>
      <c r="K21" s="111"/>
      <c r="L21" s="111"/>
      <c r="M21" s="111"/>
      <c r="N21" s="111"/>
      <c r="O21" s="111"/>
      <c r="P21" s="111"/>
      <c r="Q21" s="111"/>
      <c r="R21" s="111"/>
      <c r="S21" s="111"/>
      <c r="T21" s="111"/>
      <c r="U21" s="111"/>
      <c r="V21" s="111"/>
      <c r="W21" s="111"/>
      <c r="X21" s="111"/>
      <c r="Y21" s="111"/>
      <c r="Z21" s="111"/>
      <c r="AA21" s="633"/>
      <c r="AB21" s="634"/>
      <c r="AC21" s="635"/>
    </row>
    <row r="22" spans="1:29" ht="12.9" customHeight="1">
      <c r="A22" s="340" t="s">
        <v>3433</v>
      </c>
      <c r="B22" s="127"/>
      <c r="C22" s="163"/>
      <c r="D22" s="163"/>
      <c r="E22" s="118"/>
      <c r="F22" s="163"/>
      <c r="G22" s="118"/>
      <c r="H22" s="191">
        <f>IFERROR(VLOOKUP(G22,'BDD FE'!$D$313:$F$349,3,0)*F22*10^-3*D22,0)</f>
        <v>0</v>
      </c>
      <c r="I22" s="123">
        <f>H22*'BDD FE'!$C$367*10^-3</f>
        <v>0</v>
      </c>
      <c r="J22" s="123">
        <f>IFERROR(VLOOKUP(G22,'BDD FE'!$D$313:$F$349,3,0)*D22*IF(E22="Recto",1,2)*'BDD FE'!$C$364*10^-3,0)</f>
        <v>0</v>
      </c>
      <c r="K22" s="111"/>
      <c r="L22" s="111"/>
      <c r="M22" s="111"/>
      <c r="N22" s="111"/>
      <c r="O22" s="111"/>
      <c r="P22" s="111"/>
      <c r="Q22" s="111"/>
      <c r="R22" s="111"/>
      <c r="S22" s="111"/>
      <c r="T22" s="111"/>
      <c r="U22" s="111"/>
      <c r="V22" s="111"/>
      <c r="W22" s="111"/>
      <c r="X22" s="111"/>
      <c r="Y22" s="111"/>
      <c r="Z22" s="111"/>
      <c r="AA22" s="633"/>
      <c r="AB22" s="634"/>
      <c r="AC22" s="635"/>
    </row>
    <row r="23" spans="1:29" ht="12.9" customHeight="1">
      <c r="A23" s="340" t="s">
        <v>3428</v>
      </c>
      <c r="B23" s="127"/>
      <c r="C23" s="163"/>
      <c r="D23" s="163"/>
      <c r="E23" s="118"/>
      <c r="F23" s="163"/>
      <c r="G23" s="118"/>
      <c r="H23" s="191">
        <f>IFERROR(VLOOKUP(G23,'BDD FE'!$D$313:$F$349,3,0)*F23*10^-3*D23,0)</f>
        <v>0</v>
      </c>
      <c r="I23" s="123">
        <f>H23*'BDD FE'!$C$367*10^-3</f>
        <v>0</v>
      </c>
      <c r="J23" s="123">
        <f>IFERROR(VLOOKUP(G23,'BDD FE'!$D$313:$F$349,3,0)*D23*IF(E23="Recto",1,2)*'BDD FE'!$C$364*10^-3,0)</f>
        <v>0</v>
      </c>
      <c r="K23" s="111"/>
      <c r="L23" s="111"/>
      <c r="M23" s="111"/>
      <c r="N23" s="111"/>
      <c r="O23" s="111"/>
      <c r="P23" s="111"/>
      <c r="Q23" s="111"/>
      <c r="R23" s="111"/>
      <c r="S23" s="111"/>
      <c r="T23" s="111"/>
      <c r="U23" s="111"/>
      <c r="V23" s="111"/>
      <c r="W23" s="111"/>
      <c r="X23" s="111"/>
      <c r="Y23" s="111"/>
      <c r="Z23" s="111"/>
      <c r="AA23" s="633"/>
      <c r="AB23" s="634"/>
      <c r="AC23" s="635"/>
    </row>
    <row r="24" spans="1:29" ht="12.9" customHeight="1">
      <c r="A24" s="340" t="s">
        <v>11</v>
      </c>
      <c r="B24" s="127"/>
      <c r="C24" s="163"/>
      <c r="D24" s="163"/>
      <c r="E24" s="118"/>
      <c r="F24" s="163"/>
      <c r="G24" s="118"/>
      <c r="H24" s="191">
        <f>IFERROR(VLOOKUP(G24,'BDD FE'!$D$313:$F$349,3,0)*F24*10^-3*D24,0)</f>
        <v>0</v>
      </c>
      <c r="I24" s="123">
        <f>H24*'BDD FE'!$C$367*10^-3</f>
        <v>0</v>
      </c>
      <c r="J24" s="123">
        <f>IFERROR(VLOOKUP(G24,'BDD FE'!$D$313:$F$349,3,0)*D24*IF(E24="Recto",1,2)*'BDD FE'!$C$364*10^-3,0)</f>
        <v>0</v>
      </c>
      <c r="K24" s="111"/>
      <c r="L24" s="111"/>
      <c r="M24" s="111"/>
      <c r="N24" s="111"/>
      <c r="O24" s="111"/>
      <c r="P24" s="111"/>
      <c r="Q24" s="111"/>
      <c r="R24" s="111"/>
      <c r="S24" s="111"/>
      <c r="T24" s="111"/>
      <c r="U24" s="111"/>
      <c r="V24" s="111"/>
      <c r="W24" s="111"/>
      <c r="X24" s="111"/>
      <c r="Y24" s="111"/>
      <c r="Z24" s="111"/>
      <c r="AA24" s="633"/>
      <c r="AB24" s="634"/>
      <c r="AC24" s="635"/>
    </row>
    <row r="25" spans="1:29" ht="13.25" customHeight="1">
      <c r="A25" s="340" t="s">
        <v>13</v>
      </c>
      <c r="B25" s="127"/>
      <c r="C25" s="163"/>
      <c r="D25" s="163"/>
      <c r="E25" s="118"/>
      <c r="F25" s="163"/>
      <c r="G25" s="118"/>
      <c r="H25" s="191">
        <f>IFERROR(VLOOKUP(G25,'BDD FE'!$D$313:$F$349,3,0)*F25*10^-3*D25,0)</f>
        <v>0</v>
      </c>
      <c r="I25" s="123">
        <f>H25*'BDD FE'!$C$367*10^-3</f>
        <v>0</v>
      </c>
      <c r="J25" s="123">
        <f>IFERROR(VLOOKUP(G25,'BDD FE'!$D$313:$F$349,3,0)*D25*IF(E25="Recto",1,2)*'BDD FE'!$C$364*10^-3,0)</f>
        <v>0</v>
      </c>
      <c r="K25" s="111"/>
      <c r="L25" s="111"/>
      <c r="M25" s="111"/>
      <c r="N25" s="111"/>
      <c r="O25" s="111"/>
      <c r="P25" s="111"/>
      <c r="Q25" s="111"/>
      <c r="R25" s="111"/>
      <c r="S25" s="111"/>
      <c r="T25" s="111"/>
      <c r="U25" s="111"/>
      <c r="V25" s="111"/>
      <c r="W25" s="111"/>
      <c r="X25" s="111"/>
      <c r="Y25" s="111"/>
      <c r="Z25" s="111"/>
      <c r="AA25" s="633"/>
      <c r="AB25" s="634"/>
      <c r="AC25" s="635"/>
    </row>
    <row r="26" spans="1:29">
      <c r="B26" s="127"/>
      <c r="C26" s="163"/>
      <c r="D26" s="163"/>
      <c r="E26" s="118"/>
      <c r="F26" s="163"/>
      <c r="G26" s="118"/>
      <c r="H26" s="191">
        <f>IFERROR(VLOOKUP(G26,'BDD FE'!$D$313:$F$349,3,0)*F26*10^-3*D26,0)</f>
        <v>0</v>
      </c>
      <c r="I26" s="123">
        <f>H26*'BDD FE'!$C$367*10^-3</f>
        <v>0</v>
      </c>
      <c r="J26" s="123">
        <f>IFERROR(VLOOKUP(G26,'BDD FE'!$D$313:$F$349,3,0)*D26*IF(E26="Recto",1,2)*'BDD FE'!$C$364*10^-3,0)</f>
        <v>0</v>
      </c>
      <c r="K26" s="111"/>
      <c r="L26" s="111"/>
      <c r="M26" s="111"/>
      <c r="N26" s="111"/>
      <c r="O26" s="111"/>
      <c r="P26" s="111"/>
      <c r="Q26" s="111"/>
      <c r="R26" s="111"/>
      <c r="S26" s="111"/>
      <c r="T26" s="111"/>
      <c r="U26" s="111"/>
      <c r="V26" s="111"/>
      <c r="W26" s="111"/>
      <c r="X26" s="111"/>
      <c r="Y26" s="111"/>
      <c r="Z26" s="111"/>
      <c r="AA26" s="639"/>
      <c r="AB26" s="640"/>
      <c r="AC26" s="641"/>
    </row>
    <row r="27" spans="1:29" ht="14.4" customHeight="1">
      <c r="B27" s="127"/>
      <c r="C27" s="163"/>
      <c r="D27" s="163"/>
      <c r="E27" s="118"/>
      <c r="F27" s="163"/>
      <c r="G27" s="118"/>
      <c r="H27" s="191">
        <f>IFERROR(VLOOKUP(G27,'BDD FE'!$D$313:$F$349,3,0)*F27*10^-3*D27,0)</f>
        <v>0</v>
      </c>
      <c r="I27" s="123">
        <f>H27*'BDD FE'!$C$367*10^-3</f>
        <v>0</v>
      </c>
      <c r="J27" s="123">
        <f>IFERROR(VLOOKUP(G27,'BDD FE'!$D$313:$F$349,3,0)*D27*IF(E27="Recto",1,2)*'BDD FE'!$C$364*10^-3,0)</f>
        <v>0</v>
      </c>
      <c r="K27" s="111"/>
      <c r="L27" s="111"/>
      <c r="M27" s="111"/>
      <c r="N27" s="300"/>
      <c r="O27" s="300"/>
      <c r="P27" s="300"/>
      <c r="Q27" s="300"/>
      <c r="R27" s="300"/>
      <c r="S27" s="300"/>
      <c r="T27" s="300"/>
      <c r="U27" s="300"/>
      <c r="V27" s="300"/>
      <c r="W27" s="300"/>
      <c r="X27" s="300"/>
      <c r="Y27" s="111"/>
      <c r="Z27" s="111"/>
      <c r="AA27" s="613" t="s">
        <v>3459</v>
      </c>
      <c r="AB27" s="614"/>
      <c r="AC27" s="615"/>
    </row>
    <row r="28" spans="1:29">
      <c r="B28" s="127"/>
      <c r="C28" s="163"/>
      <c r="D28" s="163"/>
      <c r="E28" s="118"/>
      <c r="F28" s="163"/>
      <c r="G28" s="118"/>
      <c r="H28" s="191">
        <f>IFERROR(VLOOKUP(G28,'BDD FE'!$D$313:$F$349,3,0)*F28*10^-3*D28,0)</f>
        <v>0</v>
      </c>
      <c r="I28" s="123">
        <f>H28*'BDD FE'!$C$367*10^-3</f>
        <v>0</v>
      </c>
      <c r="J28" s="123">
        <f>IFERROR(VLOOKUP(G28,'BDD FE'!$D$313:$F$349,3,0)*D28*IF(E28="Recto",1,2)*'BDD FE'!$C$364*10^-3,0)</f>
        <v>0</v>
      </c>
      <c r="K28" s="111"/>
      <c r="L28" s="111"/>
      <c r="M28" s="111"/>
      <c r="N28" s="300"/>
      <c r="O28" s="300"/>
      <c r="P28" s="300"/>
      <c r="Q28" s="300"/>
      <c r="R28" s="300"/>
      <c r="S28" s="300"/>
      <c r="T28" s="300"/>
      <c r="U28" s="300"/>
      <c r="V28" s="300"/>
      <c r="W28" s="300"/>
      <c r="X28" s="300"/>
      <c r="Y28" s="111"/>
      <c r="Z28" s="111"/>
      <c r="AA28" s="633"/>
      <c r="AB28" s="634"/>
      <c r="AC28" s="635"/>
    </row>
    <row r="29" spans="1:29">
      <c r="B29" s="127"/>
      <c r="C29" s="163"/>
      <c r="D29" s="163"/>
      <c r="E29" s="118"/>
      <c r="F29" s="163"/>
      <c r="G29" s="118"/>
      <c r="H29" s="191">
        <f>IFERROR(VLOOKUP(G29,'BDD FE'!$D$313:$F$349,3,0)*F29*10^-3*D29,0)</f>
        <v>0</v>
      </c>
      <c r="I29" s="123">
        <f>H29*'BDD FE'!$C$367*10^-3</f>
        <v>0</v>
      </c>
      <c r="J29" s="123">
        <f>IFERROR(VLOOKUP(G29,'BDD FE'!$D$313:$F$349,3,0)*D29*IF(E29="Recto",1,2)*'BDD FE'!$C$364*10^-3,0)</f>
        <v>0</v>
      </c>
      <c r="K29" s="111"/>
      <c r="L29" s="111"/>
      <c r="M29" s="111"/>
      <c r="N29" s="300"/>
      <c r="O29" s="300"/>
      <c r="P29" s="300"/>
      <c r="Q29" s="300"/>
      <c r="R29" s="300"/>
      <c r="S29" s="300"/>
      <c r="T29" s="300"/>
      <c r="U29" s="300"/>
      <c r="V29" s="300"/>
      <c r="W29" s="300"/>
      <c r="X29" s="300"/>
      <c r="Y29" s="111"/>
      <c r="Z29" s="111"/>
      <c r="AA29" s="633"/>
      <c r="AB29" s="634"/>
      <c r="AC29" s="635"/>
    </row>
    <row r="30" spans="1:29">
      <c r="B30" s="127"/>
      <c r="C30" s="111"/>
      <c r="D30" s="111"/>
      <c r="E30" s="111"/>
      <c r="F30" s="111"/>
      <c r="G30" s="111"/>
      <c r="H30" s="111"/>
      <c r="I30" s="123">
        <f>SUM(I15:I29)</f>
        <v>0</v>
      </c>
      <c r="J30" s="123">
        <f>SUM(J15:J29)</f>
        <v>0</v>
      </c>
      <c r="K30" s="111"/>
      <c r="L30" s="111"/>
      <c r="M30" s="111"/>
      <c r="N30" s="300"/>
      <c r="O30" s="300"/>
      <c r="P30" s="300"/>
      <c r="Q30" s="300"/>
      <c r="R30" s="300"/>
      <c r="S30" s="300"/>
      <c r="T30" s="300"/>
      <c r="U30" s="300"/>
      <c r="V30" s="300"/>
      <c r="W30" s="300"/>
      <c r="X30" s="300"/>
      <c r="Y30" s="111"/>
      <c r="Z30" s="111"/>
      <c r="AA30" s="633"/>
      <c r="AB30" s="634"/>
      <c r="AC30" s="635"/>
    </row>
    <row r="31" spans="1:29">
      <c r="B31" s="127"/>
      <c r="C31" s="111"/>
      <c r="D31" s="111"/>
      <c r="E31" s="111"/>
      <c r="F31" s="111"/>
      <c r="G31" s="111"/>
      <c r="H31" s="111"/>
      <c r="I31" s="111"/>
      <c r="J31" s="111"/>
      <c r="K31" s="111"/>
      <c r="L31" s="111"/>
      <c r="M31" s="111"/>
      <c r="N31" s="300"/>
      <c r="O31" s="300"/>
      <c r="P31" s="300"/>
      <c r="Q31" s="300"/>
      <c r="R31" s="300"/>
      <c r="S31" s="300"/>
      <c r="T31" s="300"/>
      <c r="U31" s="300"/>
      <c r="V31" s="300"/>
      <c r="W31" s="300"/>
      <c r="X31" s="300"/>
      <c r="Y31" s="111"/>
      <c r="Z31" s="111"/>
      <c r="AA31" s="633"/>
      <c r="AB31" s="634"/>
      <c r="AC31" s="635"/>
    </row>
    <row r="32" spans="1:29">
      <c r="B32" s="127"/>
      <c r="C32" s="642" t="s">
        <v>9</v>
      </c>
      <c r="D32" s="643"/>
      <c r="E32" s="643"/>
      <c r="F32" s="643"/>
      <c r="G32" s="643"/>
      <c r="H32" s="643"/>
      <c r="I32" s="643"/>
      <c r="J32" s="643"/>
      <c r="K32" s="643"/>
      <c r="L32" s="643"/>
      <c r="M32" s="643"/>
      <c r="N32" s="643"/>
      <c r="O32" s="643"/>
      <c r="P32" s="643"/>
      <c r="Q32" s="643"/>
      <c r="R32" s="643"/>
      <c r="S32" s="643"/>
      <c r="T32" s="643"/>
      <c r="U32" s="643"/>
      <c r="V32" s="643"/>
      <c r="W32" s="643"/>
      <c r="X32" s="643"/>
      <c r="Y32" s="111"/>
      <c r="Z32" s="111"/>
      <c r="AA32" s="633"/>
      <c r="AB32" s="634"/>
      <c r="AC32" s="635"/>
    </row>
    <row r="33" spans="2:29">
      <c r="B33" s="127"/>
      <c r="C33" s="111"/>
      <c r="D33" s="111"/>
      <c r="E33" s="111"/>
      <c r="F33" s="111"/>
      <c r="G33" s="111"/>
      <c r="H33" s="111"/>
      <c r="I33" s="111"/>
      <c r="J33" s="111"/>
      <c r="K33" s="111"/>
      <c r="L33" s="111"/>
      <c r="M33" s="111"/>
      <c r="N33" s="300"/>
      <c r="O33" s="300"/>
      <c r="P33" s="300"/>
      <c r="Q33" s="300"/>
      <c r="R33" s="300"/>
      <c r="S33" s="300"/>
      <c r="T33" s="300"/>
      <c r="U33" s="300"/>
      <c r="V33" s="300"/>
      <c r="W33" s="300"/>
      <c r="X33" s="300"/>
      <c r="Y33" s="111"/>
      <c r="Z33" s="111"/>
      <c r="AA33" s="633"/>
      <c r="AB33" s="634"/>
      <c r="AC33" s="635"/>
    </row>
    <row r="34" spans="2:29" ht="14.4" customHeight="1">
      <c r="B34" s="127"/>
      <c r="C34" s="644" t="s">
        <v>3946</v>
      </c>
      <c r="D34" s="629"/>
      <c r="E34" s="629"/>
      <c r="F34" s="629"/>
      <c r="G34" s="629"/>
      <c r="H34" s="629"/>
      <c r="I34" s="629"/>
      <c r="J34" s="629"/>
      <c r="K34" s="629"/>
      <c r="L34" s="629"/>
      <c r="M34" s="629"/>
      <c r="N34" s="629"/>
      <c r="O34" s="629"/>
      <c r="P34" s="629"/>
      <c r="Q34" s="629"/>
      <c r="R34" s="629"/>
      <c r="S34" s="629"/>
      <c r="T34" s="629"/>
      <c r="U34" s="629"/>
      <c r="V34" s="629"/>
      <c r="W34" s="629"/>
      <c r="X34" s="629"/>
      <c r="Y34" s="111"/>
      <c r="Z34" s="111"/>
      <c r="AA34" s="633"/>
      <c r="AB34" s="634"/>
      <c r="AC34" s="635"/>
    </row>
    <row r="35" spans="2:29">
      <c r="B35" s="127"/>
      <c r="C35" s="629"/>
      <c r="D35" s="629"/>
      <c r="E35" s="629"/>
      <c r="F35" s="629"/>
      <c r="G35" s="629"/>
      <c r="H35" s="629"/>
      <c r="I35" s="629"/>
      <c r="J35" s="629"/>
      <c r="K35" s="629"/>
      <c r="L35" s="629"/>
      <c r="M35" s="629"/>
      <c r="N35" s="629"/>
      <c r="O35" s="629"/>
      <c r="P35" s="629"/>
      <c r="Q35" s="629"/>
      <c r="R35" s="629"/>
      <c r="S35" s="629"/>
      <c r="T35" s="629"/>
      <c r="U35" s="629"/>
      <c r="V35" s="629"/>
      <c r="W35" s="629"/>
      <c r="X35" s="629"/>
      <c r="Y35" s="111"/>
      <c r="Z35" s="111"/>
      <c r="AA35" s="633"/>
      <c r="AB35" s="634"/>
      <c r="AC35" s="635"/>
    </row>
    <row r="36" spans="2:29">
      <c r="B36" s="127"/>
      <c r="C36" s="629"/>
      <c r="D36" s="629"/>
      <c r="E36" s="629"/>
      <c r="F36" s="629"/>
      <c r="G36" s="629"/>
      <c r="H36" s="629"/>
      <c r="I36" s="629"/>
      <c r="J36" s="629"/>
      <c r="K36" s="629"/>
      <c r="L36" s="629"/>
      <c r="M36" s="629"/>
      <c r="N36" s="629"/>
      <c r="O36" s="629"/>
      <c r="P36" s="629"/>
      <c r="Q36" s="629"/>
      <c r="R36" s="629"/>
      <c r="S36" s="629"/>
      <c r="T36" s="629"/>
      <c r="U36" s="629"/>
      <c r="V36" s="629"/>
      <c r="W36" s="629"/>
      <c r="X36" s="629"/>
      <c r="Y36" s="111"/>
      <c r="Z36" s="111"/>
      <c r="AA36" s="633"/>
      <c r="AB36" s="634"/>
      <c r="AC36" s="635"/>
    </row>
    <row r="37" spans="2:29">
      <c r="B37" s="127"/>
      <c r="C37" s="629"/>
      <c r="D37" s="629"/>
      <c r="E37" s="629"/>
      <c r="F37" s="629"/>
      <c r="G37" s="629"/>
      <c r="H37" s="629"/>
      <c r="I37" s="629"/>
      <c r="J37" s="629"/>
      <c r="K37" s="629"/>
      <c r="L37" s="629"/>
      <c r="M37" s="629"/>
      <c r="N37" s="629"/>
      <c r="O37" s="629"/>
      <c r="P37" s="629"/>
      <c r="Q37" s="629"/>
      <c r="R37" s="629"/>
      <c r="S37" s="629"/>
      <c r="T37" s="629"/>
      <c r="U37" s="629"/>
      <c r="V37" s="629"/>
      <c r="W37" s="629"/>
      <c r="X37" s="629"/>
      <c r="Y37" s="111"/>
      <c r="Z37" s="111"/>
      <c r="AA37" s="633"/>
      <c r="AB37" s="634"/>
      <c r="AC37" s="635"/>
    </row>
    <row r="38" spans="2:29">
      <c r="B38" s="127"/>
      <c r="C38" s="629"/>
      <c r="D38" s="629"/>
      <c r="E38" s="629"/>
      <c r="F38" s="629"/>
      <c r="G38" s="629"/>
      <c r="H38" s="629"/>
      <c r="I38" s="629"/>
      <c r="J38" s="629"/>
      <c r="K38" s="629"/>
      <c r="L38" s="629"/>
      <c r="M38" s="629"/>
      <c r="N38" s="629"/>
      <c r="O38" s="629"/>
      <c r="P38" s="629"/>
      <c r="Q38" s="629"/>
      <c r="R38" s="629"/>
      <c r="S38" s="629"/>
      <c r="T38" s="629"/>
      <c r="U38" s="629"/>
      <c r="V38" s="629"/>
      <c r="W38" s="629"/>
      <c r="X38" s="629"/>
      <c r="Y38" s="111"/>
      <c r="Z38" s="111"/>
      <c r="AA38" s="633"/>
      <c r="AB38" s="634"/>
      <c r="AC38" s="635"/>
    </row>
    <row r="39" spans="2:29">
      <c r="B39" s="127"/>
      <c r="C39" s="629"/>
      <c r="D39" s="629"/>
      <c r="E39" s="629"/>
      <c r="F39" s="629"/>
      <c r="G39" s="629"/>
      <c r="H39" s="629"/>
      <c r="I39" s="629"/>
      <c r="J39" s="629"/>
      <c r="K39" s="629"/>
      <c r="L39" s="629"/>
      <c r="M39" s="629"/>
      <c r="N39" s="629"/>
      <c r="O39" s="629"/>
      <c r="P39" s="629"/>
      <c r="Q39" s="629"/>
      <c r="R39" s="629"/>
      <c r="S39" s="629"/>
      <c r="T39" s="629"/>
      <c r="U39" s="629"/>
      <c r="V39" s="629"/>
      <c r="W39" s="629"/>
      <c r="X39" s="629"/>
      <c r="Y39" s="111"/>
      <c r="Z39" s="111"/>
      <c r="AA39" s="633"/>
      <c r="AB39" s="634"/>
      <c r="AC39" s="635"/>
    </row>
    <row r="40" spans="2:29">
      <c r="B40" s="127"/>
      <c r="C40" s="629"/>
      <c r="D40" s="629"/>
      <c r="E40" s="629"/>
      <c r="F40" s="629"/>
      <c r="G40" s="629"/>
      <c r="H40" s="629"/>
      <c r="I40" s="629"/>
      <c r="J40" s="629"/>
      <c r="K40" s="629"/>
      <c r="L40" s="629"/>
      <c r="M40" s="629"/>
      <c r="N40" s="629"/>
      <c r="O40" s="629"/>
      <c r="P40" s="629"/>
      <c r="Q40" s="629"/>
      <c r="R40" s="629"/>
      <c r="S40" s="629"/>
      <c r="T40" s="629"/>
      <c r="U40" s="629"/>
      <c r="V40" s="629"/>
      <c r="W40" s="629"/>
      <c r="X40" s="629"/>
      <c r="Y40" s="111"/>
      <c r="Z40" s="111"/>
      <c r="AA40" s="633"/>
      <c r="AB40" s="634"/>
      <c r="AC40" s="635"/>
    </row>
    <row r="41" spans="2:29">
      <c r="B41" s="127"/>
      <c r="C41" s="629"/>
      <c r="D41" s="629"/>
      <c r="E41" s="629"/>
      <c r="F41" s="629"/>
      <c r="G41" s="629"/>
      <c r="H41" s="629"/>
      <c r="I41" s="629"/>
      <c r="J41" s="629"/>
      <c r="K41" s="629"/>
      <c r="L41" s="629"/>
      <c r="M41" s="629"/>
      <c r="N41" s="629"/>
      <c r="O41" s="629"/>
      <c r="P41" s="629"/>
      <c r="Q41" s="629"/>
      <c r="R41" s="629"/>
      <c r="S41" s="629"/>
      <c r="T41" s="629"/>
      <c r="U41" s="629"/>
      <c r="V41" s="629"/>
      <c r="W41" s="629"/>
      <c r="X41" s="629"/>
      <c r="Y41" s="111"/>
      <c r="Z41" s="111"/>
      <c r="AA41" s="639"/>
      <c r="AB41" s="640"/>
      <c r="AC41" s="641"/>
    </row>
    <row r="42" spans="2:29">
      <c r="B42" s="127"/>
      <c r="C42" s="629"/>
      <c r="D42" s="629"/>
      <c r="E42" s="629"/>
      <c r="F42" s="629"/>
      <c r="G42" s="629"/>
      <c r="H42" s="629"/>
      <c r="I42" s="629"/>
      <c r="J42" s="629"/>
      <c r="K42" s="629"/>
      <c r="L42" s="629"/>
      <c r="M42" s="629"/>
      <c r="N42" s="629"/>
      <c r="O42" s="629"/>
      <c r="P42" s="629"/>
      <c r="Q42" s="629"/>
      <c r="R42" s="629"/>
      <c r="S42" s="629"/>
      <c r="T42" s="629"/>
      <c r="U42" s="629"/>
      <c r="V42" s="629"/>
      <c r="W42" s="629"/>
      <c r="X42" s="629"/>
      <c r="Y42" s="111"/>
      <c r="Z42" s="111"/>
      <c r="AA42" s="145"/>
      <c r="AC42" s="149"/>
    </row>
    <row r="43" spans="2:29">
      <c r="B43" s="127"/>
      <c r="Y43" s="111"/>
      <c r="Z43" s="111"/>
      <c r="AA43" s="145"/>
      <c r="AC43" s="149"/>
    </row>
    <row r="44" spans="2:29">
      <c r="B44" s="127"/>
      <c r="C44" s="111"/>
      <c r="D44" s="716" t="s">
        <v>119</v>
      </c>
      <c r="E44" s="718"/>
      <c r="F44" s="716" t="s">
        <v>127</v>
      </c>
      <c r="G44" s="717"/>
      <c r="H44" s="717"/>
      <c r="I44" s="717"/>
      <c r="J44" s="717"/>
      <c r="K44" s="717"/>
      <c r="L44" s="717"/>
      <c r="M44" s="717"/>
      <c r="N44" s="718"/>
      <c r="O44" s="719" t="s">
        <v>134</v>
      </c>
      <c r="P44" s="719"/>
      <c r="Q44" s="719"/>
      <c r="R44" s="719"/>
      <c r="S44" s="719"/>
      <c r="T44" s="719"/>
      <c r="U44" s="719"/>
      <c r="V44" s="719"/>
      <c r="W44" s="719"/>
      <c r="X44" s="719"/>
      <c r="Y44" s="111"/>
      <c r="Z44" s="111"/>
      <c r="AA44" s="145"/>
      <c r="AC44" s="149"/>
    </row>
    <row r="45" spans="2:29" ht="50">
      <c r="B45" s="127"/>
      <c r="C45" s="117" t="s">
        <v>3365</v>
      </c>
      <c r="D45" s="295" t="s">
        <v>3410</v>
      </c>
      <c r="E45" s="117" t="s">
        <v>118</v>
      </c>
      <c r="F45" s="117" t="s">
        <v>128</v>
      </c>
      <c r="G45" s="117" t="s">
        <v>129</v>
      </c>
      <c r="H45" s="117" t="s">
        <v>130</v>
      </c>
      <c r="I45" s="117" t="s">
        <v>122</v>
      </c>
      <c r="J45" s="117" t="s">
        <v>131</v>
      </c>
      <c r="K45" s="117" t="s">
        <v>132</v>
      </c>
      <c r="L45" s="117" t="s">
        <v>133</v>
      </c>
      <c r="M45" s="117" t="s">
        <v>89</v>
      </c>
      <c r="N45" s="117" t="s">
        <v>23</v>
      </c>
      <c r="O45" s="117" t="s">
        <v>135</v>
      </c>
      <c r="P45" s="117" t="s">
        <v>136</v>
      </c>
      <c r="Q45" s="117" t="s">
        <v>137</v>
      </c>
      <c r="R45" s="117" t="s">
        <v>138</v>
      </c>
      <c r="S45" s="117" t="s">
        <v>122</v>
      </c>
      <c r="T45" s="117" t="s">
        <v>131</v>
      </c>
      <c r="U45" s="117" t="s">
        <v>132</v>
      </c>
      <c r="V45" s="117" t="s">
        <v>3366</v>
      </c>
      <c r="W45" s="117" t="s">
        <v>89</v>
      </c>
      <c r="X45" s="117" t="s">
        <v>23</v>
      </c>
      <c r="Y45" s="111"/>
      <c r="Z45" s="111"/>
      <c r="AA45" s="145"/>
      <c r="AC45" s="149"/>
    </row>
    <row r="46" spans="2:29" ht="15" thickBot="1">
      <c r="B46" s="127"/>
      <c r="C46" s="163"/>
      <c r="D46" s="163"/>
      <c r="E46" s="123">
        <f>D46*'BDD FE'!$C$355*10^-3</f>
        <v>0</v>
      </c>
      <c r="F46" s="163"/>
      <c r="G46" s="163"/>
      <c r="H46" s="488"/>
      <c r="I46" s="163"/>
      <c r="J46" s="163"/>
      <c r="K46" s="163"/>
      <c r="L46" s="191">
        <f t="shared" ref="L46:L60" si="0">IFERROR(J46*K46*10^-6*I46*10^-3*H46*G46,0)</f>
        <v>0</v>
      </c>
      <c r="M46" s="118"/>
      <c r="N46" s="123">
        <f>IFERROR(IF(OR(M46="Vélo à assistance électrique",M46="Vélo"),F46*VLOOKUP(M46,'BDD FE'!$B$371:$E$383,2,0)*10^-3,L46*10^-3*F46*VLOOKUP(M46,'BDD FE'!$B$371:$E$383,2,0)*10^-3),0)</f>
        <v>0</v>
      </c>
      <c r="O46" s="163"/>
      <c r="P46" s="163"/>
      <c r="Q46" s="163"/>
      <c r="R46" s="163"/>
      <c r="S46" s="163"/>
      <c r="T46" s="163"/>
      <c r="U46" s="163"/>
      <c r="V46" s="191">
        <f>IFERROR(T46*U46*10^-6*S46*10^-3*R46*Q46,0)</f>
        <v>0</v>
      </c>
      <c r="W46" s="118"/>
      <c r="X46" s="279">
        <f>IFERROR(IF(OR(W46="Vélo à assistance électrique",W46="Vélo"),P46*O46*VLOOKUP(W46,'BDD FE'!$B$371:$E$383,2,0)*10^-3,P46*V46*10^-3*O46*VLOOKUP(W46,'BDD FE'!$B$371:$E$383,2,0)*10^-3),0)</f>
        <v>0</v>
      </c>
      <c r="Y46" s="111"/>
      <c r="Z46" s="111"/>
      <c r="AA46" s="150"/>
      <c r="AB46" s="151"/>
      <c r="AC46" s="152"/>
    </row>
    <row r="47" spans="2:29">
      <c r="B47" s="127"/>
      <c r="C47" s="163"/>
      <c r="D47" s="163"/>
      <c r="E47" s="123">
        <f>D47*'BDD FE'!$C$355*10^-3</f>
        <v>0</v>
      </c>
      <c r="F47" s="163"/>
      <c r="G47" s="163"/>
      <c r="H47" s="163"/>
      <c r="I47" s="163"/>
      <c r="J47" s="163"/>
      <c r="K47" s="163"/>
      <c r="L47" s="191">
        <f t="shared" si="0"/>
        <v>0</v>
      </c>
      <c r="M47" s="118"/>
      <c r="N47" s="123">
        <f>IFERROR(IF(OR(M47="Vélo à assistance électrique",M47="Vélo"),F47*VLOOKUP(M47,'BDD FE'!$B$371:$E$383,2,0)*10^-3,L47*10^-3*F47*VLOOKUP(M47,'BDD FE'!$B$371:$E$383,2,0)*10^-3),0)</f>
        <v>0</v>
      </c>
      <c r="O47" s="280"/>
      <c r="P47" s="280"/>
      <c r="Q47" s="280"/>
      <c r="R47" s="280"/>
      <c r="S47" s="280"/>
      <c r="T47" s="280"/>
      <c r="U47" s="280"/>
      <c r="V47" s="191">
        <f t="shared" ref="V47:V60" si="1">IFERROR(T47*U47*10^-6*S47*10^-3*R47*Q47,0)</f>
        <v>0</v>
      </c>
      <c r="W47" s="118"/>
      <c r="X47" s="279">
        <f>IFERROR(IF(OR(W47="Vélo à assistance électrique",W47="Vélo"),P47*O47*VLOOKUP(W47,'BDD FE'!$B$371:$E$383,2,0)*10^-3,P47*V47*10^-3*O47*VLOOKUP(W47,'BDD FE'!$B$371:$E$383,2,0)*10^-3),0)</f>
        <v>0</v>
      </c>
      <c r="Y47" s="111"/>
      <c r="Z47" s="111"/>
      <c r="AA47" s="145"/>
    </row>
    <row r="48" spans="2:29">
      <c r="B48" s="127"/>
      <c r="C48" s="163"/>
      <c r="D48" s="163"/>
      <c r="E48" s="123">
        <f>D48*'BDD FE'!$C$355*10^-3</f>
        <v>0</v>
      </c>
      <c r="F48" s="163"/>
      <c r="G48" s="163"/>
      <c r="H48" s="163"/>
      <c r="I48" s="163"/>
      <c r="J48" s="163"/>
      <c r="K48" s="163"/>
      <c r="L48" s="191">
        <f t="shared" si="0"/>
        <v>0</v>
      </c>
      <c r="M48" s="118"/>
      <c r="N48" s="123">
        <f>IFERROR(IF(OR(M48="Vélo à assistance électrique",M48="Vélo"),F48*VLOOKUP(M48,'BDD FE'!$B$371:$E$383,2,0)*10^-3,L48*10^-3*F48*VLOOKUP(M48,'BDD FE'!$B$371:$E$383,2,0)*10^-3),0)</f>
        <v>0</v>
      </c>
      <c r="O48" s="163"/>
      <c r="P48" s="163"/>
      <c r="Q48" s="163"/>
      <c r="R48" s="163"/>
      <c r="S48" s="163"/>
      <c r="T48" s="163"/>
      <c r="U48" s="163"/>
      <c r="V48" s="191">
        <f t="shared" si="1"/>
        <v>0</v>
      </c>
      <c r="W48" s="118"/>
      <c r="X48" s="279">
        <f>IFERROR(IF(OR(W48="Vélo à assistance électrique",W48="Vélo"),P48*O48*VLOOKUP(W48,'BDD FE'!$B$371:$E$383,2,0)*10^-3,P48*V48*10^-3*O48*VLOOKUP(W48,'BDD FE'!$B$371:$E$383,2,0)*10^-3),0)</f>
        <v>0</v>
      </c>
      <c r="Y48" s="111"/>
      <c r="Z48" s="111"/>
      <c r="AA48" s="357"/>
    </row>
    <row r="49" spans="2:27">
      <c r="B49" s="127"/>
      <c r="C49" s="163"/>
      <c r="D49" s="163"/>
      <c r="E49" s="123">
        <f>D49*'BDD FE'!$C$355*10^-3</f>
        <v>0</v>
      </c>
      <c r="F49" s="163"/>
      <c r="G49" s="163"/>
      <c r="H49" s="163"/>
      <c r="I49" s="163"/>
      <c r="J49" s="163"/>
      <c r="K49" s="163"/>
      <c r="L49" s="191">
        <f t="shared" si="0"/>
        <v>0</v>
      </c>
      <c r="M49" s="118"/>
      <c r="N49" s="123">
        <f>IFERROR(IF(OR(M49="Vélo à assistance électrique",M49="Vélo"),F49*VLOOKUP(M49,'BDD FE'!$B$371:$E$383,2,0)*10^-3,L49*10^-3*F49*VLOOKUP(M49,'BDD FE'!$B$371:$E$383,2,0)*10^-3),0)</f>
        <v>0</v>
      </c>
      <c r="O49" s="163"/>
      <c r="P49" s="163"/>
      <c r="Q49" s="163"/>
      <c r="R49" s="163"/>
      <c r="S49" s="163"/>
      <c r="T49" s="163"/>
      <c r="U49" s="163"/>
      <c r="V49" s="191">
        <f t="shared" si="1"/>
        <v>0</v>
      </c>
      <c r="W49" s="118"/>
      <c r="X49" s="279">
        <f>IFERROR(IF(OR(W49="Vélo à assistance électrique",W49="Vélo"),P49*O49*VLOOKUP(W49,'BDD FE'!$B$371:$E$383,2,0)*10^-3,P49*V49*10^-3*O49*VLOOKUP(W49,'BDD FE'!$B$371:$E$383,2,0)*10^-3),0)</f>
        <v>0</v>
      </c>
      <c r="Y49" s="111"/>
      <c r="Z49" s="111"/>
      <c r="AA49" s="145"/>
    </row>
    <row r="50" spans="2:27">
      <c r="B50" s="127"/>
      <c r="C50" s="163"/>
      <c r="D50" s="163"/>
      <c r="E50" s="123">
        <f>D50*'BDD FE'!$C$355*10^-3</f>
        <v>0</v>
      </c>
      <c r="F50" s="163"/>
      <c r="G50" s="163"/>
      <c r="H50" s="163"/>
      <c r="I50" s="163"/>
      <c r="J50" s="163"/>
      <c r="K50" s="163"/>
      <c r="L50" s="191">
        <f t="shared" si="0"/>
        <v>0</v>
      </c>
      <c r="M50" s="118"/>
      <c r="N50" s="123">
        <f>IFERROR(IF(OR(M50="Vélo à assistance électrique",M50="Vélo"),F50*VLOOKUP(M50,'BDD FE'!$B$371:$E$383,2,0)*10^-3,L50*10^-3*F50*VLOOKUP(M50,'BDD FE'!$B$371:$E$383,2,0)*10^-3),0)</f>
        <v>0</v>
      </c>
      <c r="O50" s="163"/>
      <c r="P50" s="163"/>
      <c r="Q50" s="163"/>
      <c r="R50" s="163"/>
      <c r="S50" s="163"/>
      <c r="T50" s="163"/>
      <c r="U50" s="163"/>
      <c r="V50" s="191">
        <f t="shared" si="1"/>
        <v>0</v>
      </c>
      <c r="W50" s="118"/>
      <c r="X50" s="279">
        <f>IFERROR(IF(OR(W50="Vélo à assistance électrique",W50="Vélo"),P50*O50*VLOOKUP(W50,'BDD FE'!$B$371:$E$383,2,0)*10^-3,P50*V50*10^-3*O50*VLOOKUP(W50,'BDD FE'!$B$371:$E$383,2,0)*10^-3),0)</f>
        <v>0</v>
      </c>
      <c r="Y50" s="111"/>
      <c r="Z50" s="111"/>
      <c r="AA50" s="145"/>
    </row>
    <row r="51" spans="2:27">
      <c r="B51" s="127"/>
      <c r="C51" s="163"/>
      <c r="D51" s="163"/>
      <c r="E51" s="123">
        <f>D51*'BDD FE'!$C$355*10^-3</f>
        <v>0</v>
      </c>
      <c r="F51" s="163"/>
      <c r="G51" s="163"/>
      <c r="H51" s="163"/>
      <c r="I51" s="163"/>
      <c r="J51" s="163"/>
      <c r="K51" s="163"/>
      <c r="L51" s="191">
        <f t="shared" si="0"/>
        <v>0</v>
      </c>
      <c r="M51" s="118"/>
      <c r="N51" s="123">
        <f>IFERROR(IF(OR(M51="Vélo à assistance électrique",M51="Vélo"),F51*VLOOKUP(M51,'BDD FE'!$B$371:$E$383,2,0)*10^-3,L51*10^-3*F51*VLOOKUP(M51,'BDD FE'!$B$371:$E$383,2,0)*10^-3),0)</f>
        <v>0</v>
      </c>
      <c r="O51" s="163"/>
      <c r="P51" s="163"/>
      <c r="Q51" s="163"/>
      <c r="R51" s="163"/>
      <c r="S51" s="163"/>
      <c r="T51" s="163"/>
      <c r="U51" s="163"/>
      <c r="V51" s="191">
        <f t="shared" si="1"/>
        <v>0</v>
      </c>
      <c r="W51" s="118"/>
      <c r="X51" s="279">
        <f>IFERROR(IF(OR(W51="Vélo à assistance électrique",W51="Vélo"),P51*O51*VLOOKUP(W51,'BDD FE'!$B$371:$E$383,2,0)*10^-3,P51*V51*10^-3*O51*VLOOKUP(W51,'BDD FE'!$B$371:$E$383,2,0)*10^-3),0)</f>
        <v>0</v>
      </c>
      <c r="Y51" s="111"/>
      <c r="Z51" s="111"/>
      <c r="AA51" s="145"/>
    </row>
    <row r="52" spans="2:27">
      <c r="B52" s="127"/>
      <c r="C52" s="163"/>
      <c r="D52" s="163"/>
      <c r="E52" s="123">
        <f>D52*'BDD FE'!$C$355*10^-3</f>
        <v>0</v>
      </c>
      <c r="F52" s="163"/>
      <c r="G52" s="163"/>
      <c r="H52" s="163"/>
      <c r="I52" s="163"/>
      <c r="J52" s="163"/>
      <c r="K52" s="163"/>
      <c r="L52" s="191">
        <f t="shared" si="0"/>
        <v>0</v>
      </c>
      <c r="M52" s="118"/>
      <c r="N52" s="123">
        <f>IFERROR(IF(OR(M52="Vélo à assistance électrique",M52="Vélo"),F52*VLOOKUP(M52,'BDD FE'!$B$371:$E$383,2,0)*10^-3,L52*10^-3*F52*VLOOKUP(M52,'BDD FE'!$B$371:$E$383,2,0)*10^-3),0)</f>
        <v>0</v>
      </c>
      <c r="O52" s="163"/>
      <c r="P52" s="163"/>
      <c r="Q52" s="163"/>
      <c r="R52" s="163"/>
      <c r="S52" s="163"/>
      <c r="T52" s="163"/>
      <c r="U52" s="163"/>
      <c r="V52" s="191">
        <f t="shared" si="1"/>
        <v>0</v>
      </c>
      <c r="W52" s="118"/>
      <c r="X52" s="279">
        <f>IFERROR(IF(OR(W52="Vélo à assistance électrique",W52="Vélo"),P52*O52*VLOOKUP(W52,'BDD FE'!$B$371:$E$383,2,0)*10^-3,P52*V52*10^-3*O52*VLOOKUP(W52,'BDD FE'!$B$371:$E$383,2,0)*10^-3),0)</f>
        <v>0</v>
      </c>
      <c r="Y52" s="111"/>
      <c r="Z52" s="111"/>
      <c r="AA52" s="145"/>
    </row>
    <row r="53" spans="2:27">
      <c r="B53" s="127"/>
      <c r="C53" s="163"/>
      <c r="D53" s="163"/>
      <c r="E53" s="123">
        <f>D53*'BDD FE'!$C$355*10^-3</f>
        <v>0</v>
      </c>
      <c r="F53" s="163"/>
      <c r="G53" s="163"/>
      <c r="H53" s="163"/>
      <c r="I53" s="163"/>
      <c r="J53" s="163"/>
      <c r="K53" s="163"/>
      <c r="L53" s="191">
        <f t="shared" si="0"/>
        <v>0</v>
      </c>
      <c r="M53" s="118"/>
      <c r="N53" s="123">
        <f>IFERROR(IF(OR(M53="Vélo à assistance électrique",M53="Vélo"),F53*VLOOKUP(M53,'BDD FE'!$B$371:$E$383,2,0)*10^-3,L53*10^-3*F53*VLOOKUP(M53,'BDD FE'!$B$371:$E$383,2,0)*10^-3),0)</f>
        <v>0</v>
      </c>
      <c r="O53" s="163"/>
      <c r="P53" s="163"/>
      <c r="Q53" s="163"/>
      <c r="R53" s="163"/>
      <c r="S53" s="163"/>
      <c r="T53" s="163"/>
      <c r="U53" s="163"/>
      <c r="V53" s="191">
        <f t="shared" si="1"/>
        <v>0</v>
      </c>
      <c r="W53" s="118"/>
      <c r="X53" s="279">
        <f>IFERROR(IF(OR(W53="Vélo à assistance électrique",W53="Vélo"),P53*O53*VLOOKUP(W53,'BDD FE'!$B$371:$E$383,2,0)*10^-3,P53*V53*10^-3*O53*VLOOKUP(W53,'BDD FE'!$B$371:$E$383,2,0)*10^-3),0)</f>
        <v>0</v>
      </c>
      <c r="Y53" s="111"/>
      <c r="Z53" s="111"/>
      <c r="AA53" s="145"/>
    </row>
    <row r="54" spans="2:27">
      <c r="B54" s="127"/>
      <c r="C54" s="163"/>
      <c r="D54" s="163"/>
      <c r="E54" s="123">
        <f>D54*'BDD FE'!$C$355*10^-3</f>
        <v>0</v>
      </c>
      <c r="F54" s="163"/>
      <c r="G54" s="163"/>
      <c r="H54" s="163"/>
      <c r="I54" s="163"/>
      <c r="J54" s="163"/>
      <c r="K54" s="163"/>
      <c r="L54" s="191">
        <f t="shared" si="0"/>
        <v>0</v>
      </c>
      <c r="M54" s="118"/>
      <c r="N54" s="123">
        <f>IFERROR(IF(OR(M54="Vélo à assistance électrique",M54="Vélo"),F54*VLOOKUP(M54,'BDD FE'!$B$371:$E$383,2,0)*10^-3,L54*10^-3*F54*VLOOKUP(M54,'BDD FE'!$B$371:$E$383,2,0)*10^-3),0)</f>
        <v>0</v>
      </c>
      <c r="O54" s="163"/>
      <c r="P54" s="163"/>
      <c r="Q54" s="163"/>
      <c r="R54" s="163"/>
      <c r="S54" s="163"/>
      <c r="T54" s="163"/>
      <c r="U54" s="163"/>
      <c r="V54" s="191">
        <f t="shared" si="1"/>
        <v>0</v>
      </c>
      <c r="W54" s="118"/>
      <c r="X54" s="279">
        <f>IFERROR(IF(OR(W54="Vélo à assistance électrique",W54="Vélo"),P54*O54*VLOOKUP(W54,'BDD FE'!$B$371:$E$383,2,0)*10^-3,P54*V54*10^-3*O54*VLOOKUP(W54,'BDD FE'!$B$371:$E$383,2,0)*10^-3),0)</f>
        <v>0</v>
      </c>
      <c r="Y54" s="111"/>
      <c r="Z54" s="111"/>
      <c r="AA54" s="145"/>
    </row>
    <row r="55" spans="2:27">
      <c r="B55" s="127"/>
      <c r="C55" s="163"/>
      <c r="D55" s="163"/>
      <c r="E55" s="123">
        <f>D55*'BDD FE'!$C$355*10^-3</f>
        <v>0</v>
      </c>
      <c r="F55" s="163"/>
      <c r="G55" s="163"/>
      <c r="H55" s="163"/>
      <c r="I55" s="163"/>
      <c r="J55" s="163"/>
      <c r="K55" s="163"/>
      <c r="L55" s="191">
        <f t="shared" si="0"/>
        <v>0</v>
      </c>
      <c r="M55" s="118"/>
      <c r="N55" s="123">
        <f>IFERROR(IF(OR(M55="Vélo à assistance électrique",M55="Vélo"),F55*VLOOKUP(M55,'BDD FE'!$B$371:$E$383,2,0)*10^-3,L55*10^-3*F55*VLOOKUP(M55,'BDD FE'!$B$371:$E$383,2,0)*10^-3),0)</f>
        <v>0</v>
      </c>
      <c r="O55" s="163"/>
      <c r="P55" s="163"/>
      <c r="Q55" s="163"/>
      <c r="R55" s="163"/>
      <c r="S55" s="163"/>
      <c r="T55" s="163"/>
      <c r="U55" s="163"/>
      <c r="V55" s="191">
        <f t="shared" si="1"/>
        <v>0</v>
      </c>
      <c r="W55" s="118"/>
      <c r="X55" s="279">
        <f>IFERROR(IF(OR(W55="Vélo à assistance électrique",W55="Vélo"),P55*O55*VLOOKUP(W55,'BDD FE'!$B$371:$E$383,2,0)*10^-3,P55*V55*10^-3*O55*VLOOKUP(W55,'BDD FE'!$B$371:$E$383,2,0)*10^-3),0)</f>
        <v>0</v>
      </c>
      <c r="Y55" s="111"/>
      <c r="Z55" s="111"/>
      <c r="AA55" s="145"/>
    </row>
    <row r="56" spans="2:27">
      <c r="B56" s="127"/>
      <c r="C56" s="163"/>
      <c r="D56" s="163"/>
      <c r="E56" s="123">
        <f>D56*'BDD FE'!$C$355*10^-3</f>
        <v>0</v>
      </c>
      <c r="F56" s="163"/>
      <c r="G56" s="163"/>
      <c r="H56" s="163"/>
      <c r="I56" s="163"/>
      <c r="J56" s="163"/>
      <c r="K56" s="163"/>
      <c r="L56" s="191">
        <f t="shared" si="0"/>
        <v>0</v>
      </c>
      <c r="M56" s="118"/>
      <c r="N56" s="123">
        <f>IFERROR(IF(OR(M56="Vélo à assistance électrique",M56="Vélo"),F56*VLOOKUP(M56,'BDD FE'!$B$371:$E$383,2,0)*10^-3,L56*10^-3*F56*VLOOKUP(M56,'BDD FE'!$B$371:$E$383,2,0)*10^-3),0)</f>
        <v>0</v>
      </c>
      <c r="O56" s="163"/>
      <c r="P56" s="163"/>
      <c r="Q56" s="163"/>
      <c r="R56" s="163"/>
      <c r="S56" s="163"/>
      <c r="T56" s="163"/>
      <c r="U56" s="163"/>
      <c r="V56" s="191">
        <f t="shared" si="1"/>
        <v>0</v>
      </c>
      <c r="W56" s="118"/>
      <c r="X56" s="279">
        <f>IFERROR(IF(OR(W56="Vélo à assistance électrique",W56="Vélo"),P56*O56*VLOOKUP(W56,'BDD FE'!$B$371:$E$383,2,0)*10^-3,P56*V56*10^-3*O56*VLOOKUP(W56,'BDD FE'!$B$371:$E$383,2,0)*10^-3),0)</f>
        <v>0</v>
      </c>
      <c r="Y56" s="111"/>
      <c r="Z56" s="111"/>
      <c r="AA56" s="145"/>
    </row>
    <row r="57" spans="2:27">
      <c r="B57" s="127"/>
      <c r="C57" s="163"/>
      <c r="D57" s="163"/>
      <c r="E57" s="123">
        <f>D57*'BDD FE'!$C$355*10^-3</f>
        <v>0</v>
      </c>
      <c r="F57" s="163"/>
      <c r="G57" s="163"/>
      <c r="H57" s="163"/>
      <c r="I57" s="163"/>
      <c r="J57" s="163"/>
      <c r="K57" s="163"/>
      <c r="L57" s="191">
        <f t="shared" si="0"/>
        <v>0</v>
      </c>
      <c r="M57" s="118"/>
      <c r="N57" s="123">
        <f>IFERROR(IF(OR(M57="Vélo à assistance électrique",M57="Vélo"),F57*VLOOKUP(M57,'BDD FE'!$B$371:$E$383,2,0)*10^-3,L57*10^-3*F57*VLOOKUP(M57,'BDD FE'!$B$371:$E$383,2,0)*10^-3),0)</f>
        <v>0</v>
      </c>
      <c r="O57" s="163"/>
      <c r="P57" s="163"/>
      <c r="Q57" s="163"/>
      <c r="R57" s="163"/>
      <c r="S57" s="163"/>
      <c r="T57" s="163"/>
      <c r="U57" s="163"/>
      <c r="V57" s="191">
        <f t="shared" si="1"/>
        <v>0</v>
      </c>
      <c r="W57" s="118"/>
      <c r="X57" s="279">
        <f>IFERROR(IF(OR(W57="Vélo à assistance électrique",W57="Vélo"),P57*O57*VLOOKUP(W57,'BDD FE'!$B$371:$E$383,2,0)*10^-3,P57*V57*10^-3*O57*VLOOKUP(W57,'BDD FE'!$B$371:$E$383,2,0)*10^-3),0)</f>
        <v>0</v>
      </c>
      <c r="Y57" s="111"/>
      <c r="Z57" s="111"/>
      <c r="AA57" s="145"/>
    </row>
    <row r="58" spans="2:27">
      <c r="B58" s="127"/>
      <c r="C58" s="163"/>
      <c r="D58" s="163"/>
      <c r="E58" s="123">
        <f>D58*'BDD FE'!$C$355*10^-3</f>
        <v>0</v>
      </c>
      <c r="F58" s="163"/>
      <c r="G58" s="163"/>
      <c r="H58" s="163"/>
      <c r="I58" s="163"/>
      <c r="J58" s="163"/>
      <c r="K58" s="163"/>
      <c r="L58" s="191">
        <f t="shared" si="0"/>
        <v>0</v>
      </c>
      <c r="M58" s="118"/>
      <c r="N58" s="123">
        <f>IFERROR(IF(OR(M58="Vélo à assistance électrique",M58="Vélo"),F58*VLOOKUP(M58,'BDD FE'!$B$371:$E$383,2,0)*10^-3,L58*10^-3*F58*VLOOKUP(M58,'BDD FE'!$B$371:$E$383,2,0)*10^-3),0)</f>
        <v>0</v>
      </c>
      <c r="O58" s="163"/>
      <c r="P58" s="163"/>
      <c r="Q58" s="163"/>
      <c r="R58" s="163"/>
      <c r="S58" s="163"/>
      <c r="T58" s="163"/>
      <c r="U58" s="163"/>
      <c r="V58" s="191">
        <f t="shared" si="1"/>
        <v>0</v>
      </c>
      <c r="W58" s="118"/>
      <c r="X58" s="279">
        <f>IFERROR(IF(OR(W58="Vélo à assistance électrique",W58="Vélo"),P58*O58*VLOOKUP(W58,'BDD FE'!$B$371:$E$383,2,0)*10^-3,P58*V58*10^-3*O58*VLOOKUP(W58,'BDD FE'!$B$371:$E$383,2,0)*10^-3),0)</f>
        <v>0</v>
      </c>
      <c r="Y58" s="111"/>
      <c r="Z58" s="111"/>
      <c r="AA58" s="145"/>
    </row>
    <row r="59" spans="2:27">
      <c r="B59" s="127"/>
      <c r="C59" s="163"/>
      <c r="D59" s="163"/>
      <c r="E59" s="123">
        <f>D59*'BDD FE'!$C$355*10^-3</f>
        <v>0</v>
      </c>
      <c r="F59" s="163"/>
      <c r="G59" s="163"/>
      <c r="H59" s="163"/>
      <c r="I59" s="163"/>
      <c r="J59" s="163"/>
      <c r="K59" s="163"/>
      <c r="L59" s="191">
        <f t="shared" si="0"/>
        <v>0</v>
      </c>
      <c r="M59" s="118"/>
      <c r="N59" s="123">
        <f>IFERROR(IF(OR(M59="Vélo à assistance électrique",M59="Vélo"),F59*VLOOKUP(M59,'BDD FE'!$B$371:$E$383,2,0)*10^-3,L59*10^-3*F59*VLOOKUP(M59,'BDD FE'!$B$371:$E$383,2,0)*10^-3),0)</f>
        <v>0</v>
      </c>
      <c r="O59" s="163"/>
      <c r="P59" s="163"/>
      <c r="Q59" s="163"/>
      <c r="R59" s="163"/>
      <c r="S59" s="163"/>
      <c r="T59" s="163"/>
      <c r="U59" s="163"/>
      <c r="V59" s="191">
        <f t="shared" si="1"/>
        <v>0</v>
      </c>
      <c r="W59" s="118"/>
      <c r="X59" s="279">
        <f>IFERROR(IF(OR(W59="Vélo à assistance électrique",W59="Vélo"),P59*O59*VLOOKUP(W59,'BDD FE'!$B$371:$E$383,2,0)*10^-3,P59*V59*10^-3*O59*VLOOKUP(W59,'BDD FE'!$B$371:$E$383,2,0)*10^-3),0)</f>
        <v>0</v>
      </c>
      <c r="Y59" s="111"/>
      <c r="Z59" s="111"/>
      <c r="AA59" s="145"/>
    </row>
    <row r="60" spans="2:27">
      <c r="B60" s="127"/>
      <c r="C60" s="163"/>
      <c r="D60" s="163"/>
      <c r="E60" s="123">
        <f>D60*'BDD FE'!$C$355*10^-3</f>
        <v>0</v>
      </c>
      <c r="F60" s="163"/>
      <c r="G60" s="163"/>
      <c r="H60" s="163"/>
      <c r="I60" s="163"/>
      <c r="J60" s="163"/>
      <c r="K60" s="163"/>
      <c r="L60" s="191">
        <f t="shared" si="0"/>
        <v>0</v>
      </c>
      <c r="M60" s="118"/>
      <c r="N60" s="123">
        <f>IFERROR(IF(OR(M60="Vélo à assistance électrique",M60="Vélo"),F60*VLOOKUP(M60,'BDD FE'!$B$371:$E$383,2,0)*10^-3,L60*10^-3*F60*VLOOKUP(M60,'BDD FE'!$B$371:$E$383,2,0)*10^-3),0)</f>
        <v>0</v>
      </c>
      <c r="O60" s="163"/>
      <c r="P60" s="163"/>
      <c r="Q60" s="163"/>
      <c r="R60" s="163"/>
      <c r="S60" s="163"/>
      <c r="T60" s="163"/>
      <c r="U60" s="163"/>
      <c r="V60" s="191">
        <f t="shared" si="1"/>
        <v>0</v>
      </c>
      <c r="W60" s="118"/>
      <c r="X60" s="279">
        <f>IFERROR(IF(OR(W60="Vélo à assistance électrique",W60="Vélo"),P60*O60*VLOOKUP(W60,'BDD FE'!$B$371:$E$383,2,0)*10^-3,P60*V60*10^-3*O60*VLOOKUP(W60,'BDD FE'!$B$371:$E$383,2,0)*10^-3),0)</f>
        <v>0</v>
      </c>
      <c r="Y60" s="111"/>
      <c r="Z60" s="111"/>
      <c r="AA60" s="145"/>
    </row>
    <row r="61" spans="2:27">
      <c r="B61" s="127"/>
      <c r="C61" s="111"/>
      <c r="D61" s="111"/>
      <c r="E61" s="123">
        <f>SUM(E46:E60)</f>
        <v>0</v>
      </c>
      <c r="F61" s="111"/>
      <c r="G61" s="111"/>
      <c r="H61" s="111"/>
      <c r="I61" s="111"/>
      <c r="J61" s="111"/>
      <c r="K61" s="111"/>
      <c r="L61" s="111"/>
      <c r="M61" s="111"/>
      <c r="N61" s="123">
        <f>SUM(N46:N60)</f>
        <v>0</v>
      </c>
      <c r="O61" s="111"/>
      <c r="P61" s="111"/>
      <c r="Q61" s="111"/>
      <c r="R61" s="111"/>
      <c r="S61" s="111"/>
      <c r="T61" s="111"/>
      <c r="U61" s="111"/>
      <c r="V61" s="111"/>
      <c r="W61" s="111"/>
      <c r="X61" s="123">
        <f>SUM(X46:X60)</f>
        <v>0</v>
      </c>
      <c r="Y61" s="111"/>
      <c r="Z61" s="111"/>
      <c r="AA61" s="145"/>
    </row>
    <row r="62" spans="2:27">
      <c r="B62" s="127"/>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45"/>
    </row>
    <row r="63" spans="2:27">
      <c r="B63" s="127"/>
      <c r="Z63" s="111"/>
      <c r="AA63" s="145"/>
    </row>
    <row r="64" spans="2:27">
      <c r="B64" s="127"/>
      <c r="Z64" s="111"/>
      <c r="AA64" s="145"/>
    </row>
    <row r="65" spans="2:27">
      <c r="B65" s="127"/>
      <c r="Z65" s="111"/>
      <c r="AA65" s="145"/>
    </row>
    <row r="66" spans="2:27" ht="15" thickBot="1">
      <c r="B66" s="14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5"/>
    </row>
    <row r="67" spans="2:27"/>
    <row r="68" spans="2:27" customFormat="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2:27" customFormat="1" hidden="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2:27" customFormat="1" hidden="1">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2:27" customFormat="1" hidden="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2:27" customFormat="1" hidden="1">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2:27" customFormat="1" hidden="1">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2:27" customFormat="1" hidden="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2:27" customFormat="1" hidden="1">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2:27" customFormat="1" hidden="1">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2:27" customFormat="1" hidden="1">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2:27" customFormat="1" hidden="1">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2:27" customFormat="1" hidden="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sheetData>
  <protectedRanges>
    <protectedRange sqref="O48:U60 M46:M60 O46:U46 W46:W60 C46:D60 F46:K60" name="Plage1_2"/>
    <protectedRange sqref="O47:U47" name="Plage1_1_2"/>
    <protectedRange sqref="AA3 AA8:AA11 AA28:AA38" name="Plage1_1_1"/>
  </protectedRanges>
  <mergeCells count="16">
    <mergeCell ref="F44:N44"/>
    <mergeCell ref="D44:E44"/>
    <mergeCell ref="O44:X44"/>
    <mergeCell ref="C34:X42"/>
    <mergeCell ref="AA27:AC27"/>
    <mergeCell ref="AA28:AC41"/>
    <mergeCell ref="C32:X32"/>
    <mergeCell ref="A1:A2"/>
    <mergeCell ref="C4:J4"/>
    <mergeCell ref="AA1:AC1"/>
    <mergeCell ref="C5:J11"/>
    <mergeCell ref="B1:Z1"/>
    <mergeCell ref="AA2:AC2"/>
    <mergeCell ref="AA3:AC6"/>
    <mergeCell ref="AA8:AC26"/>
    <mergeCell ref="M2:N2"/>
  </mergeCells>
  <dataValidations count="1">
    <dataValidation type="list" allowBlank="1" showInputMessage="1" showErrorMessage="1" sqref="E15:E29" xr:uid="{5F73085B-0F6B-4671-8F54-5B9B4BB35054}">
      <formula1>"Recto,Recto-verso"</formula1>
    </dataValidation>
  </dataValidations>
  <hyperlinks>
    <hyperlink ref="A6" location="'1_Votre Structure'!A1" display="Votre structure" xr:uid="{A2481512-6B63-4265-B37D-4B5C130BF180}"/>
    <hyperlink ref="A7" location="'2_ConsoEnergieEau'!A1" display="Consommation d'énergie et d'eau" xr:uid="{CADD27AF-2C86-41C3-9042-56F36D896395}"/>
    <hyperlink ref="A8" location="'3_Climatisation'!A1" display="Climatisation" xr:uid="{AB74BEF9-BE61-4788-9F1A-DDF88F1B9F93}"/>
    <hyperlink ref="A12" location="'7_DéplacementsProfessionnels'!A1" display="Déplacements professionnels" xr:uid="{19FFA6C4-4385-4374-9946-117F74535FE7}"/>
    <hyperlink ref="A13" location="'8_DéplacementsSalariés'!A1" display="Déplacements des salariés" xr:uid="{7645D446-AFDE-4F18-B060-776FCF135E5D}"/>
    <hyperlink ref="A17" location="'12_Equipements'!A1" display="Equipements" xr:uid="{99E55A9E-46AF-4B41-90FC-FFA15FFF77B8}"/>
    <hyperlink ref="A10" location="'5_Déchets'!A1" display="Déchets" xr:uid="{181DA3B7-AA37-483E-B493-E152804D19CE}"/>
    <hyperlink ref="A22" location="'17_TransportMatériel'!A1" display="Transport de matériel et d'œuvres" xr:uid="{6C0BFEA9-9420-45A1-913D-C25E45B9CFFE}"/>
    <hyperlink ref="A23" location="'18_ImpressionsComPapier'!A1" display="Impression et communication papier" xr:uid="{BC901F59-0AB4-46BF-A54F-820D29275BC0}"/>
    <hyperlink ref="A24" location="'19_ComDigitale'!A1" display="Communication digitale" xr:uid="{792F05F8-127B-4A9E-B8DF-34F422B985FB}"/>
    <hyperlink ref="A25" location="'20_Billetterie'!A1" display="Billetterie" xr:uid="{78B67671-04EB-4393-A75B-80A6FCF2C8BA}"/>
    <hyperlink ref="A20" location="'15_Alimentation'!A1" display="Alimentation" xr:uid="{65A28F0E-C174-4444-9B6B-A624ADBC09EF}"/>
    <hyperlink ref="A14" location="'9_DéplacementsVisiteurs'!A1" display="Déplacements des visiteurs" xr:uid="{BE944223-5837-4946-AA64-B5BE215F99AD}"/>
    <hyperlink ref="A15" location="'10_Tournées artistiques'!A1" display="Tournées artistiques" xr:uid="{FB3BB594-9734-4C3C-80B7-8F90F0F69844}"/>
    <hyperlink ref="A16" location="'11_Artistes invité.e.s'!A1" display="Artistes invité.e.s" xr:uid="{97BFB318-54F1-4718-B377-8027566A966D}"/>
    <hyperlink ref="A9" location="'4_Bâtiments,travaux, agcmt'!A1" display="Bâtiments, travaux et agencements" xr:uid="{8C955D79-E98E-4474-8D4D-DB1B207A8F2F}"/>
    <hyperlink ref="A18" location="'13_Achats - Documents papiers'!A1" display="Achats - Documents papiers" xr:uid="{FB5A4302-B462-422F-A8B3-0DF4DAFEA139}"/>
    <hyperlink ref="A21" location="'16_Autres achats (€)'!A1" display="Autres achats" xr:uid="{49C75CB4-9943-4A70-BF3F-13F30CCAFC04}"/>
    <hyperlink ref="A19" location="'14_Décors'!A1" display="Décors" xr:uid="{0A34CD3B-D9D5-40E5-A1FC-FED448603CF4}"/>
    <hyperlink ref="A11" location="'6_DéplacementsPrestations'!A1" display="Déplacements de prestations" xr:uid="{16FC5579-98BE-4722-BD6C-997B776F912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A051153-F038-4EDE-A8A4-3AAC81FF12E7}">
          <x14:formula1>
            <xm:f>'BDD FE'!$D$313:$D$349</xm:f>
          </x14:formula1>
          <xm:sqref>G15:G29</xm:sqref>
        </x14:dataValidation>
        <x14:dataValidation type="list" allowBlank="1" showInputMessage="1" showErrorMessage="1" xr:uid="{B3DDF3DD-FC62-410F-BFFE-AFF6328FB445}">
          <x14:formula1>
            <xm:f>'BDD FE'!$B$371:$B$383</xm:f>
          </x14:formula1>
          <xm:sqref>M46:M60 W46:W60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Q103"/>
  <sheetViews>
    <sheetView showGridLines="0" topLeftCell="A47" zoomScale="80" zoomScaleNormal="80" workbookViewId="0">
      <selection activeCell="A7" sqref="A7:A25"/>
    </sheetView>
  </sheetViews>
  <sheetFormatPr baseColWidth="10" defaultColWidth="0" defaultRowHeight="14.5" zeroHeight="1"/>
  <cols>
    <col min="1" max="1" width="26.6328125" customWidth="1"/>
    <col min="2" max="2" width="15.453125" style="112" customWidth="1"/>
    <col min="3" max="3" width="20.81640625" style="112" customWidth="1"/>
    <col min="4" max="13" width="15.453125" style="112" customWidth="1"/>
    <col min="14" max="14" width="11.1796875" customWidth="1"/>
    <col min="15" max="16" width="11.453125" customWidth="1"/>
    <col min="17" max="17" width="11.453125" style="112" customWidth="1"/>
    <col min="18" max="16384" width="11.453125" style="112" hidden="1"/>
  </cols>
  <sheetData>
    <row r="1" spans="1:16" ht="21.25" customHeight="1" thickBot="1">
      <c r="A1" s="647" t="s">
        <v>3359</v>
      </c>
      <c r="B1" s="649" t="s">
        <v>3443</v>
      </c>
      <c r="C1" s="572"/>
      <c r="D1" s="572"/>
      <c r="E1" s="572"/>
      <c r="F1" s="572"/>
      <c r="G1" s="572"/>
      <c r="H1" s="572"/>
      <c r="I1" s="572"/>
      <c r="J1" s="572"/>
      <c r="K1" s="572"/>
      <c r="L1" s="572"/>
      <c r="M1" s="573"/>
      <c r="N1" s="656" t="s">
        <v>3391</v>
      </c>
      <c r="O1" s="657"/>
      <c r="P1" s="658"/>
    </row>
    <row r="2" spans="1:16" ht="18" thickBot="1">
      <c r="A2" s="648"/>
      <c r="B2" s="127"/>
      <c r="C2" s="111"/>
      <c r="D2" s="111"/>
      <c r="E2" s="111"/>
      <c r="F2" s="111"/>
      <c r="H2" s="504">
        <f>SUM(L50,L40,K22,F63,K63)</f>
        <v>0</v>
      </c>
      <c r="I2" s="111"/>
      <c r="J2" s="111"/>
      <c r="K2" s="111"/>
      <c r="L2" s="111"/>
      <c r="M2" s="126"/>
      <c r="N2" s="613" t="s">
        <v>3457</v>
      </c>
      <c r="O2" s="614"/>
      <c r="P2" s="615"/>
    </row>
    <row r="3" spans="1:16">
      <c r="A3" s="338"/>
      <c r="B3" s="127"/>
      <c r="C3" s="111"/>
      <c r="D3" s="111"/>
      <c r="E3" s="111"/>
      <c r="F3" s="111"/>
      <c r="G3" s="111"/>
      <c r="H3" s="111"/>
      <c r="I3" s="111"/>
      <c r="J3" s="111"/>
      <c r="K3" s="111"/>
      <c r="L3" s="111"/>
      <c r="M3" s="126"/>
      <c r="N3" s="633"/>
      <c r="O3" s="634"/>
      <c r="P3" s="635"/>
    </row>
    <row r="4" spans="1:16">
      <c r="A4" s="338"/>
      <c r="B4" s="127"/>
      <c r="C4" s="644" t="s">
        <v>3947</v>
      </c>
      <c r="D4" s="629"/>
      <c r="E4" s="629"/>
      <c r="F4" s="629"/>
      <c r="G4" s="629"/>
      <c r="H4" s="629"/>
      <c r="I4" s="629"/>
      <c r="J4" s="629"/>
      <c r="K4" s="629"/>
      <c r="L4" s="629"/>
      <c r="M4" s="126"/>
      <c r="N4" s="633"/>
      <c r="O4" s="634"/>
      <c r="P4" s="635"/>
    </row>
    <row r="5" spans="1:16" ht="13.75" customHeight="1">
      <c r="A5" s="338"/>
      <c r="B5" s="127"/>
      <c r="C5" s="629"/>
      <c r="D5" s="629"/>
      <c r="E5" s="629"/>
      <c r="F5" s="629"/>
      <c r="G5" s="629"/>
      <c r="H5" s="629"/>
      <c r="I5" s="629"/>
      <c r="J5" s="629"/>
      <c r="K5" s="629"/>
      <c r="L5" s="629"/>
      <c r="M5" s="126"/>
      <c r="N5" s="633"/>
      <c r="O5" s="634"/>
      <c r="P5" s="635"/>
    </row>
    <row r="6" spans="1:16" ht="12.9" customHeight="1">
      <c r="A6" s="341" t="s">
        <v>3357</v>
      </c>
      <c r="B6" s="127"/>
      <c r="C6" s="629"/>
      <c r="D6" s="629"/>
      <c r="E6" s="629"/>
      <c r="F6" s="629"/>
      <c r="G6" s="629"/>
      <c r="H6" s="629"/>
      <c r="I6" s="629"/>
      <c r="J6" s="629"/>
      <c r="K6" s="629"/>
      <c r="L6" s="629"/>
      <c r="M6" s="126"/>
      <c r="N6" s="639"/>
      <c r="O6" s="640"/>
      <c r="P6" s="641"/>
    </row>
    <row r="7" spans="1:16" ht="12.9" customHeight="1">
      <c r="A7" s="339" t="s">
        <v>3434</v>
      </c>
      <c r="B7" s="127"/>
      <c r="C7" s="629"/>
      <c r="D7" s="629"/>
      <c r="E7" s="629"/>
      <c r="F7" s="629"/>
      <c r="G7" s="629"/>
      <c r="H7" s="629"/>
      <c r="I7" s="629"/>
      <c r="J7" s="629"/>
      <c r="K7" s="629"/>
      <c r="L7" s="629"/>
      <c r="M7" s="126"/>
      <c r="N7" s="246" t="s">
        <v>3458</v>
      </c>
      <c r="O7" s="343"/>
      <c r="P7" s="344"/>
    </row>
    <row r="8" spans="1:16" ht="12.9" customHeight="1">
      <c r="A8" s="339" t="s">
        <v>7</v>
      </c>
      <c r="B8" s="127"/>
      <c r="C8" s="629"/>
      <c r="D8" s="629"/>
      <c r="E8" s="629"/>
      <c r="F8" s="629"/>
      <c r="G8" s="629"/>
      <c r="H8" s="629"/>
      <c r="I8" s="629"/>
      <c r="J8" s="629"/>
      <c r="K8" s="629"/>
      <c r="L8" s="629"/>
      <c r="M8" s="126"/>
      <c r="N8" s="633"/>
      <c r="O8" s="634"/>
      <c r="P8" s="635"/>
    </row>
    <row r="9" spans="1:16" ht="12.9" customHeight="1">
      <c r="A9" s="339" t="s">
        <v>3427</v>
      </c>
      <c r="B9" s="127"/>
      <c r="C9" s="629"/>
      <c r="D9" s="629"/>
      <c r="E9" s="629"/>
      <c r="F9" s="629"/>
      <c r="G9" s="629"/>
      <c r="H9" s="629"/>
      <c r="I9" s="629"/>
      <c r="J9" s="629"/>
      <c r="K9" s="629"/>
      <c r="L9" s="629"/>
      <c r="M9" s="126"/>
      <c r="N9" s="633"/>
      <c r="O9" s="634"/>
      <c r="P9" s="635"/>
    </row>
    <row r="10" spans="1:16" ht="12.9" customHeight="1">
      <c r="A10" s="340" t="s">
        <v>10</v>
      </c>
      <c r="B10" s="127"/>
      <c r="C10" s="629"/>
      <c r="D10" s="629"/>
      <c r="E10" s="629"/>
      <c r="F10" s="629"/>
      <c r="G10" s="629"/>
      <c r="H10" s="629"/>
      <c r="I10" s="629"/>
      <c r="J10" s="629"/>
      <c r="K10" s="629"/>
      <c r="L10" s="629"/>
      <c r="M10" s="126"/>
      <c r="N10" s="633"/>
      <c r="O10" s="634"/>
      <c r="P10" s="635"/>
    </row>
    <row r="11" spans="1:16" ht="12.9" customHeight="1">
      <c r="A11" s="340" t="s">
        <v>3645</v>
      </c>
      <c r="B11" s="127"/>
      <c r="C11" s="629"/>
      <c r="D11" s="629"/>
      <c r="E11" s="629"/>
      <c r="F11" s="629"/>
      <c r="G11" s="629"/>
      <c r="H11" s="629"/>
      <c r="I11" s="629"/>
      <c r="J11" s="629"/>
      <c r="K11" s="629"/>
      <c r="L11" s="629"/>
      <c r="M11" s="126"/>
      <c r="N11" s="633"/>
      <c r="O11" s="634"/>
      <c r="P11" s="635"/>
    </row>
    <row r="12" spans="1:16" ht="12.9" customHeight="1">
      <c r="A12" s="339" t="s">
        <v>3431</v>
      </c>
      <c r="B12" s="127"/>
      <c r="C12" s="629"/>
      <c r="D12" s="629"/>
      <c r="E12" s="629"/>
      <c r="F12" s="629"/>
      <c r="G12" s="629"/>
      <c r="H12" s="629"/>
      <c r="I12" s="629"/>
      <c r="J12" s="629"/>
      <c r="K12" s="629"/>
      <c r="L12" s="629"/>
      <c r="M12" s="126"/>
      <c r="N12" s="633"/>
      <c r="O12" s="634"/>
      <c r="P12" s="635"/>
    </row>
    <row r="13" spans="1:16" ht="12.9" customHeight="1">
      <c r="A13" s="340" t="s">
        <v>5</v>
      </c>
      <c r="B13" s="127"/>
      <c r="C13" s="629"/>
      <c r="D13" s="629"/>
      <c r="E13" s="629"/>
      <c r="F13" s="629"/>
      <c r="G13" s="629"/>
      <c r="H13" s="629"/>
      <c r="I13" s="629"/>
      <c r="J13" s="629"/>
      <c r="K13" s="629"/>
      <c r="L13" s="629"/>
      <c r="M13" s="126"/>
      <c r="N13" s="633"/>
      <c r="O13" s="634"/>
      <c r="P13" s="635"/>
    </row>
    <row r="14" spans="1:16" ht="12.9" customHeight="1">
      <c r="A14" s="339" t="s">
        <v>6</v>
      </c>
      <c r="B14" s="127"/>
      <c r="K14" s="300"/>
      <c r="L14" s="300"/>
      <c r="M14" s="126"/>
      <c r="N14" s="633"/>
      <c r="O14" s="634"/>
      <c r="P14" s="635"/>
    </row>
    <row r="15" spans="1:16" ht="14.4" customHeight="1">
      <c r="A15" s="340" t="s">
        <v>12</v>
      </c>
      <c r="B15" s="127"/>
      <c r="C15" s="643" t="s">
        <v>3948</v>
      </c>
      <c r="D15" s="643"/>
      <c r="E15" s="643"/>
      <c r="F15" s="643"/>
      <c r="G15" s="643"/>
      <c r="H15" s="643"/>
      <c r="I15" s="643"/>
      <c r="J15" s="643"/>
      <c r="K15" s="643"/>
      <c r="L15" s="643"/>
      <c r="M15" s="126"/>
      <c r="N15" s="633"/>
      <c r="O15" s="634"/>
      <c r="P15" s="635"/>
    </row>
    <row r="16" spans="1:16" ht="50">
      <c r="A16" s="340" t="s">
        <v>14</v>
      </c>
      <c r="B16" s="127"/>
      <c r="C16" s="300"/>
      <c r="D16" s="117" t="s">
        <v>154</v>
      </c>
      <c r="E16" s="117" t="s">
        <v>155</v>
      </c>
      <c r="F16" s="117" t="s">
        <v>156</v>
      </c>
      <c r="G16" s="117" t="s">
        <v>144</v>
      </c>
      <c r="H16" s="117" t="s">
        <v>145</v>
      </c>
      <c r="I16" s="117" t="s">
        <v>146</v>
      </c>
      <c r="J16" s="117" t="s">
        <v>147</v>
      </c>
      <c r="K16" s="117" t="s">
        <v>80</v>
      </c>
      <c r="L16" s="300"/>
      <c r="M16" s="126"/>
      <c r="N16" s="633"/>
      <c r="O16" s="634"/>
      <c r="P16" s="635"/>
    </row>
    <row r="17" spans="1:16" ht="12.5">
      <c r="A17" s="339" t="s">
        <v>3426</v>
      </c>
      <c r="B17" s="127"/>
      <c r="C17" s="300"/>
      <c r="D17" s="163"/>
      <c r="E17" s="163"/>
      <c r="F17" s="163"/>
      <c r="G17" s="228">
        <f>F17*'BDD FE'!$C$425*10^-3</f>
        <v>0</v>
      </c>
      <c r="H17" s="123">
        <f>E17*D17*'BDD FE'!$C$427*'BDD FE'!$C$7*10^-3</f>
        <v>0</v>
      </c>
      <c r="I17" s="123">
        <f>G17*'BDD FE'!$C$428*'BDD FE'!$C$7*10^-3</f>
        <v>0</v>
      </c>
      <c r="J17" s="123">
        <f>G17*'BDD FE'!$C$7*10^-3*'BDD FE'!$C$429</f>
        <v>0</v>
      </c>
      <c r="K17" s="123">
        <f t="shared" ref="K17:K22" si="0">SUM(H17:J17)</f>
        <v>0</v>
      </c>
      <c r="L17" s="300"/>
      <c r="M17" s="126"/>
      <c r="N17" s="633"/>
      <c r="O17" s="634"/>
      <c r="P17" s="635"/>
    </row>
    <row r="18" spans="1:16" ht="12.5">
      <c r="A18" s="340" t="s">
        <v>3918</v>
      </c>
      <c r="B18" s="127"/>
      <c r="C18" s="300"/>
      <c r="D18" s="163"/>
      <c r="E18" s="163"/>
      <c r="F18" s="163"/>
      <c r="G18" s="228">
        <f>F18*'BDD FE'!$C$425*10^-3</f>
        <v>0</v>
      </c>
      <c r="H18" s="123">
        <f>E18*D18*'BDD FE'!$C$427*'BDD FE'!$C$7*10^-3</f>
        <v>0</v>
      </c>
      <c r="I18" s="123">
        <f>G18*'BDD FE'!$C$428*'BDD FE'!$C$7*10^-3</f>
        <v>0</v>
      </c>
      <c r="J18" s="123">
        <f>G18*'BDD FE'!$C$7*10^-3*'BDD FE'!$C$429</f>
        <v>0</v>
      </c>
      <c r="K18" s="123">
        <f t="shared" si="0"/>
        <v>0</v>
      </c>
      <c r="L18" s="300"/>
      <c r="M18" s="126"/>
      <c r="N18" s="633"/>
      <c r="O18" s="634"/>
      <c r="P18" s="635"/>
    </row>
    <row r="19" spans="1:16" ht="12.5">
      <c r="A19" s="340" t="s">
        <v>3436</v>
      </c>
      <c r="B19" s="127"/>
      <c r="C19" s="300"/>
      <c r="D19" s="163"/>
      <c r="E19" s="163"/>
      <c r="F19" s="163"/>
      <c r="G19" s="228">
        <f>F19*'BDD FE'!$C$425*10^-3</f>
        <v>0</v>
      </c>
      <c r="H19" s="123">
        <f>E19*D19*'BDD FE'!$C$427*'BDD FE'!$C$7*10^-3</f>
        <v>0</v>
      </c>
      <c r="I19" s="123">
        <f>G19*'BDD FE'!$C$428*'BDD FE'!$C$7*10^-3</f>
        <v>0</v>
      </c>
      <c r="J19" s="123">
        <f>G19*'BDD FE'!$C$7*10^-3*'BDD FE'!$C$429</f>
        <v>0</v>
      </c>
      <c r="K19" s="123">
        <f t="shared" si="0"/>
        <v>0</v>
      </c>
      <c r="L19" s="300"/>
      <c r="M19" s="126"/>
      <c r="N19" s="633"/>
      <c r="O19" s="634"/>
      <c r="P19" s="635"/>
    </row>
    <row r="20" spans="1:16" ht="12.5">
      <c r="A20" s="340" t="s">
        <v>3378</v>
      </c>
      <c r="B20" s="127"/>
      <c r="C20" s="300"/>
      <c r="D20" s="163"/>
      <c r="E20" s="163"/>
      <c r="F20" s="163"/>
      <c r="G20" s="228">
        <f>F20*'BDD FE'!$C$425*10^-3</f>
        <v>0</v>
      </c>
      <c r="H20" s="123">
        <f>E20*D20*'BDD FE'!$C$427*'BDD FE'!$C$7*10^-3</f>
        <v>0</v>
      </c>
      <c r="I20" s="123">
        <f>G20*'BDD FE'!$C$428*'BDD FE'!$C$7*10^-3</f>
        <v>0</v>
      </c>
      <c r="J20" s="123">
        <f>G20*'BDD FE'!$C$7*10^-3*'BDD FE'!$C$429</f>
        <v>0</v>
      </c>
      <c r="K20" s="123">
        <f t="shared" si="0"/>
        <v>0</v>
      </c>
      <c r="L20" s="300"/>
      <c r="M20" s="126"/>
      <c r="N20" s="633"/>
      <c r="O20" s="634"/>
      <c r="P20" s="635"/>
    </row>
    <row r="21" spans="1:16" ht="12.5">
      <c r="A21" s="339" t="s">
        <v>3430</v>
      </c>
      <c r="B21" s="127"/>
      <c r="C21" s="300"/>
      <c r="D21" s="163"/>
      <c r="E21" s="163"/>
      <c r="F21" s="163"/>
      <c r="G21" s="228">
        <f>F21*'BDD FE'!$C$425*10^-3</f>
        <v>0</v>
      </c>
      <c r="H21" s="123">
        <f>E21*D21*'BDD FE'!$C$427*'BDD FE'!$C$7*10^-3</f>
        <v>0</v>
      </c>
      <c r="I21" s="123">
        <f>G21*'BDD FE'!$C$428*'BDD FE'!$C$7*10^-3</f>
        <v>0</v>
      </c>
      <c r="J21" s="123">
        <f>G21*'BDD FE'!$C$7*10^-3*'BDD FE'!$C$429</f>
        <v>0</v>
      </c>
      <c r="K21" s="123">
        <f t="shared" si="0"/>
        <v>0</v>
      </c>
      <c r="L21" s="300"/>
      <c r="M21" s="126"/>
      <c r="N21" s="633"/>
      <c r="O21" s="634"/>
      <c r="P21" s="635"/>
    </row>
    <row r="22" spans="1:16" ht="12.5">
      <c r="A22" s="340" t="s">
        <v>3433</v>
      </c>
      <c r="B22" s="127"/>
      <c r="C22" s="300"/>
      <c r="D22" s="111"/>
      <c r="E22" s="111"/>
      <c r="F22" s="111"/>
      <c r="G22" s="111"/>
      <c r="H22" s="123">
        <f>SUM(H17:H21)</f>
        <v>0</v>
      </c>
      <c r="I22" s="123">
        <f>SUM(I17:I21)</f>
        <v>0</v>
      </c>
      <c r="J22" s="123">
        <f>SUM(J17:J21)</f>
        <v>0</v>
      </c>
      <c r="K22" s="123">
        <f t="shared" si="0"/>
        <v>0</v>
      </c>
      <c r="L22" s="300"/>
      <c r="M22" s="126"/>
      <c r="N22" s="633"/>
      <c r="O22" s="634"/>
      <c r="P22" s="635"/>
    </row>
    <row r="23" spans="1:16" ht="12.5">
      <c r="A23" s="340" t="s">
        <v>3428</v>
      </c>
      <c r="B23" s="127"/>
      <c r="C23" s="300"/>
      <c r="D23" s="300"/>
      <c r="E23" s="300"/>
      <c r="F23" s="300"/>
      <c r="G23" s="300"/>
      <c r="H23" s="300"/>
      <c r="I23" s="300"/>
      <c r="J23" s="300"/>
      <c r="K23" s="300"/>
      <c r="L23" s="300"/>
      <c r="M23" s="126"/>
      <c r="N23" s="633"/>
      <c r="O23" s="634"/>
      <c r="P23" s="635"/>
    </row>
    <row r="24" spans="1:16" ht="12.5">
      <c r="A24" s="340" t="s">
        <v>11</v>
      </c>
      <c r="B24" s="127"/>
      <c r="C24" s="300"/>
      <c r="D24" s="300"/>
      <c r="E24" s="300"/>
      <c r="F24" s="300"/>
      <c r="G24" s="300"/>
      <c r="H24" s="300"/>
      <c r="I24" s="300"/>
      <c r="J24" s="300"/>
      <c r="K24" s="300"/>
      <c r="L24" s="300"/>
      <c r="M24" s="126"/>
      <c r="N24" s="633"/>
      <c r="O24" s="634"/>
      <c r="P24" s="635"/>
    </row>
    <row r="25" spans="1:16" ht="13">
      <c r="A25" s="340" t="s">
        <v>13</v>
      </c>
      <c r="B25" s="127"/>
      <c r="C25" s="627" t="s">
        <v>148</v>
      </c>
      <c r="D25" s="628"/>
      <c r="E25" s="628"/>
      <c r="F25" s="628"/>
      <c r="G25" s="628"/>
      <c r="H25" s="628"/>
      <c r="I25" s="628"/>
      <c r="J25" s="628"/>
      <c r="K25" s="628"/>
      <c r="L25" s="628"/>
      <c r="M25" s="126"/>
      <c r="N25" s="633"/>
      <c r="O25" s="634"/>
      <c r="P25" s="635"/>
    </row>
    <row r="26" spans="1:16" ht="50">
      <c r="B26" s="127"/>
      <c r="C26" s="117" t="s">
        <v>149</v>
      </c>
      <c r="D26" s="117" t="s">
        <v>150</v>
      </c>
      <c r="E26" s="117" t="s">
        <v>151</v>
      </c>
      <c r="F26" s="117" t="s">
        <v>152</v>
      </c>
      <c r="G26" s="117" t="s">
        <v>153</v>
      </c>
      <c r="H26" s="117" t="s">
        <v>144</v>
      </c>
      <c r="I26" s="117" t="s">
        <v>145</v>
      </c>
      <c r="J26" s="117" t="s">
        <v>146</v>
      </c>
      <c r="K26" s="117" t="s">
        <v>147</v>
      </c>
      <c r="L26" s="117" t="s">
        <v>80</v>
      </c>
      <c r="M26" s="126"/>
      <c r="N26" s="639"/>
      <c r="O26" s="640"/>
      <c r="P26" s="641"/>
    </row>
    <row r="27" spans="1:16">
      <c r="B27" s="127"/>
      <c r="C27" s="118"/>
      <c r="D27" s="163"/>
      <c r="E27" s="163"/>
      <c r="F27" s="163"/>
      <c r="G27" s="163"/>
      <c r="H27" s="228">
        <f>G27*'BDD FE'!$C$425*10^-3</f>
        <v>0</v>
      </c>
      <c r="I27" s="123">
        <f>F27*E27*'BDD FE'!$C$427*'BDD FE'!$C$7*10^-3</f>
        <v>0</v>
      </c>
      <c r="J27" s="123">
        <f>H27*E27*'BDD FE'!$C$428*'BDD FE'!$C$7*10^-3</f>
        <v>0</v>
      </c>
      <c r="K27" s="123">
        <f>H27*'BDD FE'!$C$7*10^-3*'BDD FE'!$C$429*E27</f>
        <v>0</v>
      </c>
      <c r="L27" s="123">
        <f t="shared" ref="L27:L40" si="1">SUM(I27:K27)</f>
        <v>0</v>
      </c>
      <c r="M27" s="126"/>
      <c r="N27" s="613" t="s">
        <v>3459</v>
      </c>
      <c r="O27" s="614"/>
      <c r="P27" s="615"/>
    </row>
    <row r="28" spans="1:16">
      <c r="B28" s="127"/>
      <c r="C28" s="118"/>
      <c r="D28" s="163"/>
      <c r="E28" s="163"/>
      <c r="F28" s="163"/>
      <c r="G28" s="163"/>
      <c r="H28" s="228">
        <f>G28*'BDD FE'!$C$425*10^-3</f>
        <v>0</v>
      </c>
      <c r="I28" s="123">
        <f>F28*E28*'BDD FE'!$C$427*'BDD FE'!$C$7*10^-3</f>
        <v>0</v>
      </c>
      <c r="J28" s="123">
        <f>H28*E28*'BDD FE'!$C$428*'BDD FE'!$C$7*10^-3</f>
        <v>0</v>
      </c>
      <c r="K28" s="123">
        <f>H28*'BDD FE'!$C$7*10^-3*'BDD FE'!$C$429*E28</f>
        <v>0</v>
      </c>
      <c r="L28" s="123">
        <f t="shared" si="1"/>
        <v>0</v>
      </c>
      <c r="M28" s="126"/>
      <c r="N28" s="633"/>
      <c r="O28" s="634"/>
      <c r="P28" s="635"/>
    </row>
    <row r="29" spans="1:16">
      <c r="B29" s="127"/>
      <c r="C29" s="118"/>
      <c r="D29" s="163"/>
      <c r="E29" s="163"/>
      <c r="F29" s="163"/>
      <c r="G29" s="163"/>
      <c r="H29" s="228">
        <f>G29*'BDD FE'!$C$425*10^-3</f>
        <v>0</v>
      </c>
      <c r="I29" s="123">
        <f>F29*E29*'BDD FE'!$C$427*'BDD FE'!$C$7*10^-3</f>
        <v>0</v>
      </c>
      <c r="J29" s="123">
        <f>H29*E29*'BDD FE'!$C$428*'BDD FE'!$C$7*10^-3</f>
        <v>0</v>
      </c>
      <c r="K29" s="123">
        <f>H29*'BDD FE'!$C$7*10^-3*'BDD FE'!$C$429*E29</f>
        <v>0</v>
      </c>
      <c r="L29" s="123">
        <f t="shared" si="1"/>
        <v>0</v>
      </c>
      <c r="M29" s="126"/>
      <c r="N29" s="633"/>
      <c r="O29" s="634"/>
      <c r="P29" s="635"/>
    </row>
    <row r="30" spans="1:16">
      <c r="B30" s="127"/>
      <c r="C30" s="118"/>
      <c r="D30" s="163"/>
      <c r="E30" s="163"/>
      <c r="F30" s="163"/>
      <c r="G30" s="163"/>
      <c r="H30" s="228">
        <f>G30*'BDD FE'!$C$425*10^-3</f>
        <v>0</v>
      </c>
      <c r="I30" s="123">
        <f>F30*E30*'BDD FE'!$C$427*'BDD FE'!$C$7*10^-3</f>
        <v>0</v>
      </c>
      <c r="J30" s="123">
        <f>H30*E30*'BDD FE'!$C$428*'BDD FE'!$C$7*10^-3</f>
        <v>0</v>
      </c>
      <c r="K30" s="123">
        <f>H30*'BDD FE'!$C$7*10^-3*'BDD FE'!$C$429*E30</f>
        <v>0</v>
      </c>
      <c r="L30" s="123">
        <f t="shared" si="1"/>
        <v>0</v>
      </c>
      <c r="M30" s="126"/>
      <c r="N30" s="633"/>
      <c r="O30" s="634"/>
      <c r="P30" s="635"/>
    </row>
    <row r="31" spans="1:16">
      <c r="B31" s="127"/>
      <c r="C31" s="118"/>
      <c r="D31" s="163"/>
      <c r="E31" s="163"/>
      <c r="F31" s="163"/>
      <c r="G31" s="163"/>
      <c r="H31" s="228">
        <f>G31*'BDD FE'!$C$425*10^-3</f>
        <v>0</v>
      </c>
      <c r="I31" s="123">
        <f>F31*E31*'BDD FE'!$C$427*'BDD FE'!$C$7*10^-3</f>
        <v>0</v>
      </c>
      <c r="J31" s="123">
        <f>H31*E31*'BDD FE'!$C$428*'BDD FE'!$C$7*10^-3</f>
        <v>0</v>
      </c>
      <c r="K31" s="123">
        <f>H31*'BDD FE'!$C$7*10^-3*'BDD FE'!$C$429*E31</f>
        <v>0</v>
      </c>
      <c r="L31" s="123">
        <f t="shared" si="1"/>
        <v>0</v>
      </c>
      <c r="M31" s="126"/>
      <c r="N31" s="633"/>
      <c r="O31" s="634"/>
      <c r="P31" s="635"/>
    </row>
    <row r="32" spans="1:16">
      <c r="B32" s="127"/>
      <c r="C32" s="118"/>
      <c r="D32" s="163"/>
      <c r="E32" s="163"/>
      <c r="F32" s="163"/>
      <c r="G32" s="163"/>
      <c r="H32" s="228">
        <f>G32*'BDD FE'!$C$425*10^-3</f>
        <v>0</v>
      </c>
      <c r="I32" s="123">
        <f>F32*E32*'BDD FE'!$C$427*'BDD FE'!$C$7*10^-3</f>
        <v>0</v>
      </c>
      <c r="J32" s="123">
        <f>H32*E32*'BDD FE'!$C$428*'BDD FE'!$C$7*10^-3</f>
        <v>0</v>
      </c>
      <c r="K32" s="123">
        <f>H32*'BDD FE'!$C$7*10^-3*'BDD FE'!$C$429*E32</f>
        <v>0</v>
      </c>
      <c r="L32" s="123">
        <f t="shared" si="1"/>
        <v>0</v>
      </c>
      <c r="M32" s="126"/>
      <c r="N32" s="633"/>
      <c r="O32" s="634"/>
      <c r="P32" s="635"/>
    </row>
    <row r="33" spans="2:16">
      <c r="B33" s="127"/>
      <c r="C33" s="118"/>
      <c r="D33" s="163"/>
      <c r="E33" s="163"/>
      <c r="F33" s="163"/>
      <c r="G33" s="163"/>
      <c r="H33" s="228">
        <f>G33*'BDD FE'!$C$425*10^-3</f>
        <v>0</v>
      </c>
      <c r="I33" s="123">
        <f>F33*E33*'BDD FE'!$C$427*'BDD FE'!$C$7*10^-3</f>
        <v>0</v>
      </c>
      <c r="J33" s="123">
        <f>H33*E33*'BDD FE'!$C$428*'BDD FE'!$C$7*10^-3</f>
        <v>0</v>
      </c>
      <c r="K33" s="123">
        <f>H33*'BDD FE'!$C$7*10^-3*'BDD FE'!$C$429*E33</f>
        <v>0</v>
      </c>
      <c r="L33" s="123">
        <f t="shared" si="1"/>
        <v>0</v>
      </c>
      <c r="M33" s="126"/>
      <c r="N33" s="633"/>
      <c r="O33" s="634"/>
      <c r="P33" s="635"/>
    </row>
    <row r="34" spans="2:16">
      <c r="B34" s="127"/>
      <c r="C34" s="118"/>
      <c r="D34" s="163"/>
      <c r="E34" s="163"/>
      <c r="F34" s="163"/>
      <c r="G34" s="163"/>
      <c r="H34" s="228">
        <f>G34*'BDD FE'!$C$425*10^-3</f>
        <v>0</v>
      </c>
      <c r="I34" s="123">
        <f>F34*E34*'BDD FE'!$C$427*'BDD FE'!$C$7*10^-3</f>
        <v>0</v>
      </c>
      <c r="J34" s="123">
        <f>H34*E34*'BDD FE'!$C$428*'BDD FE'!$C$7*10^-3</f>
        <v>0</v>
      </c>
      <c r="K34" s="123">
        <f>H34*'BDD FE'!$C$7*10^-3*'BDD FE'!$C$429*E34</f>
        <v>0</v>
      </c>
      <c r="L34" s="123">
        <f t="shared" si="1"/>
        <v>0</v>
      </c>
      <c r="M34" s="126"/>
      <c r="N34" s="633"/>
      <c r="O34" s="634"/>
      <c r="P34" s="635"/>
    </row>
    <row r="35" spans="2:16">
      <c r="B35" s="127"/>
      <c r="C35" s="118"/>
      <c r="D35" s="163"/>
      <c r="E35" s="163"/>
      <c r="F35" s="163"/>
      <c r="G35" s="163"/>
      <c r="H35" s="228">
        <f>G35*'BDD FE'!$C$425*10^-3</f>
        <v>0</v>
      </c>
      <c r="I35" s="123">
        <f>F35*E35*'BDD FE'!$C$427*'BDD FE'!$C$7*10^-3</f>
        <v>0</v>
      </c>
      <c r="J35" s="123">
        <f>H35*E35*'BDD FE'!$C$428*'BDD FE'!$C$7*10^-3</f>
        <v>0</v>
      </c>
      <c r="K35" s="123">
        <f>H35*'BDD FE'!$C$7*10^-3*'BDD FE'!$C$429*E35</f>
        <v>0</v>
      </c>
      <c r="L35" s="123">
        <f t="shared" si="1"/>
        <v>0</v>
      </c>
      <c r="M35" s="126"/>
      <c r="N35" s="633"/>
      <c r="O35" s="634"/>
      <c r="P35" s="635"/>
    </row>
    <row r="36" spans="2:16">
      <c r="B36" s="127"/>
      <c r="C36" s="118"/>
      <c r="D36" s="163"/>
      <c r="E36" s="163"/>
      <c r="F36" s="163"/>
      <c r="G36" s="163"/>
      <c r="H36" s="228">
        <f>G36*'BDD FE'!$C$425*10^-3</f>
        <v>0</v>
      </c>
      <c r="I36" s="123">
        <f>F36*E36*'BDD FE'!$C$427*'BDD FE'!$C$7*10^-3</f>
        <v>0</v>
      </c>
      <c r="J36" s="123">
        <f>H36*E36*'BDD FE'!$C$428*'BDD FE'!$C$7*10^-3</f>
        <v>0</v>
      </c>
      <c r="K36" s="123">
        <f>H36*'BDD FE'!$C$7*10^-3*'BDD FE'!$C$429*E36</f>
        <v>0</v>
      </c>
      <c r="L36" s="123">
        <f t="shared" si="1"/>
        <v>0</v>
      </c>
      <c r="M36" s="126"/>
      <c r="N36" s="633"/>
      <c r="O36" s="634"/>
      <c r="P36" s="635"/>
    </row>
    <row r="37" spans="2:16">
      <c r="B37" s="127"/>
      <c r="C37" s="118"/>
      <c r="D37" s="163"/>
      <c r="E37" s="163"/>
      <c r="F37" s="163"/>
      <c r="G37" s="163"/>
      <c r="H37" s="228">
        <f>G37*'BDD FE'!$C$425*10^-3</f>
        <v>0</v>
      </c>
      <c r="I37" s="123">
        <f>F37*E37*'BDD FE'!$C$427*'BDD FE'!$C$7*10^-3</f>
        <v>0</v>
      </c>
      <c r="J37" s="123">
        <f>H37*E37*'BDD FE'!$C$428*'BDD FE'!$C$7*10^-3</f>
        <v>0</v>
      </c>
      <c r="K37" s="123">
        <f>H37*'BDD FE'!$C$7*10^-3*'BDD FE'!$C$429*E37</f>
        <v>0</v>
      </c>
      <c r="L37" s="123">
        <f t="shared" si="1"/>
        <v>0</v>
      </c>
      <c r="M37" s="126"/>
      <c r="N37" s="633"/>
      <c r="O37" s="634"/>
      <c r="P37" s="635"/>
    </row>
    <row r="38" spans="2:16">
      <c r="B38" s="127"/>
      <c r="C38" s="118"/>
      <c r="D38" s="163"/>
      <c r="E38" s="163"/>
      <c r="F38" s="163"/>
      <c r="G38" s="163"/>
      <c r="H38" s="228">
        <f>G38*'BDD FE'!$C$425*10^-3</f>
        <v>0</v>
      </c>
      <c r="I38" s="123">
        <f>F38*E38*'BDD FE'!$C$427*'BDD FE'!$C$7*10^-3</f>
        <v>0</v>
      </c>
      <c r="J38" s="123">
        <f>H38*E38*'BDD FE'!$C$428*'BDD FE'!$C$7*10^-3</f>
        <v>0</v>
      </c>
      <c r="K38" s="123">
        <f>H38*'BDD FE'!$C$7*10^-3*'BDD FE'!$C$429*E38</f>
        <v>0</v>
      </c>
      <c r="L38" s="123">
        <f t="shared" si="1"/>
        <v>0</v>
      </c>
      <c r="M38" s="126"/>
      <c r="N38" s="633"/>
      <c r="O38" s="634"/>
      <c r="P38" s="635"/>
    </row>
    <row r="39" spans="2:16">
      <c r="B39" s="127"/>
      <c r="C39" s="118"/>
      <c r="D39" s="163"/>
      <c r="E39" s="163"/>
      <c r="F39" s="163"/>
      <c r="G39" s="163"/>
      <c r="H39" s="228">
        <f>G39*'BDD FE'!$C$425*10^-3</f>
        <v>0</v>
      </c>
      <c r="I39" s="123">
        <f>F39*E39*'BDD FE'!$C$427*'BDD FE'!$C$7*10^-3</f>
        <v>0</v>
      </c>
      <c r="J39" s="123">
        <f>H39*E39*'BDD FE'!$C$428*'BDD FE'!$C$7*10^-3</f>
        <v>0</v>
      </c>
      <c r="K39" s="123">
        <f>H39*'BDD FE'!$C$7*10^-3*'BDD FE'!$C$429*E39</f>
        <v>0</v>
      </c>
      <c r="L39" s="123">
        <f t="shared" si="1"/>
        <v>0</v>
      </c>
      <c r="M39" s="126"/>
      <c r="N39" s="633"/>
      <c r="O39" s="634"/>
      <c r="P39" s="635"/>
    </row>
    <row r="40" spans="2:16">
      <c r="B40" s="127"/>
      <c r="C40" s="111"/>
      <c r="D40" s="111"/>
      <c r="E40" s="111"/>
      <c r="F40" s="111"/>
      <c r="G40" s="111"/>
      <c r="H40" s="111"/>
      <c r="I40" s="123">
        <f>SUM(I27:I39)</f>
        <v>0</v>
      </c>
      <c r="J40" s="123">
        <f>SUM(J27:J39)</f>
        <v>0</v>
      </c>
      <c r="K40" s="123">
        <f>SUM(K27:K39)</f>
        <v>0</v>
      </c>
      <c r="L40" s="123">
        <f t="shared" si="1"/>
        <v>0</v>
      </c>
      <c r="M40" s="126"/>
      <c r="N40" s="633"/>
      <c r="O40" s="634"/>
      <c r="P40" s="635"/>
    </row>
    <row r="41" spans="2:16">
      <c r="B41" s="127"/>
      <c r="C41" s="300"/>
      <c r="D41" s="300"/>
      <c r="E41" s="300"/>
      <c r="F41" s="300"/>
      <c r="G41" s="300"/>
      <c r="H41" s="300"/>
      <c r="I41" s="300"/>
      <c r="J41" s="300"/>
      <c r="K41" s="300"/>
      <c r="L41" s="300"/>
      <c r="M41" s="126"/>
      <c r="N41" s="633"/>
      <c r="O41" s="634"/>
      <c r="P41" s="635"/>
    </row>
    <row r="42" spans="2:16">
      <c r="B42" s="127"/>
      <c r="C42" s="111"/>
      <c r="D42" s="111"/>
      <c r="E42" s="111"/>
      <c r="F42" s="111"/>
      <c r="G42" s="111"/>
      <c r="H42" s="111"/>
      <c r="I42" s="111"/>
      <c r="J42" s="111"/>
      <c r="K42" s="111"/>
      <c r="L42" s="111"/>
      <c r="M42" s="126"/>
      <c r="N42" s="633"/>
      <c r="O42" s="634"/>
      <c r="P42" s="635"/>
    </row>
    <row r="43" spans="2:16">
      <c r="B43" s="127"/>
      <c r="C43" s="627" t="s">
        <v>139</v>
      </c>
      <c r="D43" s="628"/>
      <c r="E43" s="628"/>
      <c r="F43" s="628"/>
      <c r="G43" s="628"/>
      <c r="H43" s="628"/>
      <c r="I43" s="628"/>
      <c r="J43" s="628"/>
      <c r="K43" s="628"/>
      <c r="L43" s="628"/>
      <c r="M43" s="126"/>
      <c r="N43" s="633"/>
      <c r="O43" s="634"/>
      <c r="P43" s="635"/>
    </row>
    <row r="44" spans="2:16" ht="51">
      <c r="B44" s="127"/>
      <c r="C44" s="117" t="s">
        <v>140</v>
      </c>
      <c r="D44" s="117" t="s">
        <v>141</v>
      </c>
      <c r="E44" s="117" t="s">
        <v>3376</v>
      </c>
      <c r="F44" s="117" t="s">
        <v>142</v>
      </c>
      <c r="G44" s="117" t="s">
        <v>143</v>
      </c>
      <c r="H44" s="117" t="s">
        <v>144</v>
      </c>
      <c r="I44" s="117" t="s">
        <v>145</v>
      </c>
      <c r="J44" s="117" t="s">
        <v>146</v>
      </c>
      <c r="K44" s="117" t="s">
        <v>147</v>
      </c>
      <c r="L44" s="117" t="s">
        <v>80</v>
      </c>
      <c r="M44" s="126"/>
      <c r="N44" s="633"/>
      <c r="O44" s="634"/>
      <c r="P44" s="635"/>
    </row>
    <row r="45" spans="2:16">
      <c r="B45" s="127"/>
      <c r="C45" s="163"/>
      <c r="D45" s="163"/>
      <c r="E45" s="229"/>
      <c r="F45" s="163"/>
      <c r="G45" s="163"/>
      <c r="H45" s="228">
        <f>G45*'BDD FE'!$C$425*10^-3</f>
        <v>0</v>
      </c>
      <c r="I45" s="123">
        <f>F45*D45*E45*'BDD FE'!$C$427*'BDD FE'!$C$7*10^-3</f>
        <v>0</v>
      </c>
      <c r="J45" s="123">
        <f>H45*D45*F45*'BDD FE'!$C$428*'BDD FE'!$C$7*10^-3</f>
        <v>0</v>
      </c>
      <c r="K45" s="123">
        <f>H45*'BDD FE'!$C$7*10^-3*'BDD FE'!$C$429*F45*D45</f>
        <v>0</v>
      </c>
      <c r="L45" s="123">
        <f t="shared" ref="L45:L50" si="2">SUM(I45:K45)</f>
        <v>0</v>
      </c>
      <c r="M45" s="126"/>
      <c r="N45" s="633"/>
      <c r="O45" s="634"/>
      <c r="P45" s="635"/>
    </row>
    <row r="46" spans="2:16">
      <c r="B46" s="127"/>
      <c r="C46" s="163"/>
      <c r="D46" s="163"/>
      <c r="E46" s="229"/>
      <c r="F46" s="163"/>
      <c r="G46" s="163"/>
      <c r="H46" s="228">
        <f>G46*'BDD FE'!$C$425*10^-3</f>
        <v>0</v>
      </c>
      <c r="I46" s="123">
        <f>F46*D46*E46*'BDD FE'!$C$427*'BDD FE'!$C$7*10^-3</f>
        <v>0</v>
      </c>
      <c r="J46" s="123">
        <f>H46*D46*F46*'BDD FE'!$C$428*'BDD FE'!$C$7*10^-3</f>
        <v>0</v>
      </c>
      <c r="K46" s="123">
        <f>H46*'BDD FE'!$C$7*10^-3*'BDD FE'!$C$429*F46*D46</f>
        <v>0</v>
      </c>
      <c r="L46" s="123">
        <f t="shared" si="2"/>
        <v>0</v>
      </c>
      <c r="M46" s="126"/>
      <c r="N46" s="633"/>
      <c r="O46" s="634"/>
      <c r="P46" s="635"/>
    </row>
    <row r="47" spans="2:16">
      <c r="B47" s="127"/>
      <c r="C47" s="163"/>
      <c r="D47" s="163"/>
      <c r="E47" s="229"/>
      <c r="F47" s="163"/>
      <c r="G47" s="163"/>
      <c r="H47" s="228">
        <f>G47*'BDD FE'!$C$425*10^-3</f>
        <v>0</v>
      </c>
      <c r="I47" s="123">
        <f>F47*D47*E47*'BDD FE'!$C$427*'BDD FE'!$C$7*10^-3</f>
        <v>0</v>
      </c>
      <c r="J47" s="123">
        <f>H47*D47*F47*'BDD FE'!$C$428*'BDD FE'!$C$7*10^-3</f>
        <v>0</v>
      </c>
      <c r="K47" s="123">
        <f>H47*'BDD FE'!$C$7*10^-3*'BDD FE'!$C$429*F47*D47</f>
        <v>0</v>
      </c>
      <c r="L47" s="123">
        <f>SUM(I47:K47)</f>
        <v>0</v>
      </c>
      <c r="M47" s="126"/>
      <c r="N47" s="633"/>
      <c r="O47" s="634"/>
      <c r="P47" s="635"/>
    </row>
    <row r="48" spans="2:16">
      <c r="B48" s="127"/>
      <c r="C48" s="163"/>
      <c r="D48" s="163"/>
      <c r="E48" s="229"/>
      <c r="F48" s="163"/>
      <c r="G48" s="163"/>
      <c r="H48" s="228">
        <f>G48*'BDD FE'!$C$425*10^-3</f>
        <v>0</v>
      </c>
      <c r="I48" s="123">
        <f>F48*D48*E48*'BDD FE'!$C$427*'BDD FE'!$C$7*10^-3</f>
        <v>0</v>
      </c>
      <c r="J48" s="123">
        <f>H48*D48*F48*'BDD FE'!$C$428*'BDD FE'!$C$7*10^-3</f>
        <v>0</v>
      </c>
      <c r="K48" s="123">
        <f>H48*'BDD FE'!$C$7*10^-3*'BDD FE'!$C$429*F48*D48</f>
        <v>0</v>
      </c>
      <c r="L48" s="123">
        <f t="shared" si="2"/>
        <v>0</v>
      </c>
      <c r="M48" s="126"/>
      <c r="N48" s="633"/>
      <c r="O48" s="634"/>
      <c r="P48" s="635"/>
    </row>
    <row r="49" spans="2:16">
      <c r="B49" s="127"/>
      <c r="C49" s="163"/>
      <c r="D49" s="163"/>
      <c r="E49" s="229"/>
      <c r="F49" s="163"/>
      <c r="G49" s="163"/>
      <c r="H49" s="228">
        <f>G49*'BDD FE'!$C$425*10^-3</f>
        <v>0</v>
      </c>
      <c r="I49" s="123">
        <f>F49*D49*E49*'BDD FE'!$C$427*'BDD FE'!$C$7*10^-3</f>
        <v>0</v>
      </c>
      <c r="J49" s="123">
        <f>H49*D49*F49*'BDD FE'!$C$428*'BDD FE'!$C$7*10^-3</f>
        <v>0</v>
      </c>
      <c r="K49" s="123">
        <f>H49*'BDD FE'!$C$7*10^-3*'BDD FE'!$C$429*F49*D49</f>
        <v>0</v>
      </c>
      <c r="L49" s="123">
        <f t="shared" si="2"/>
        <v>0</v>
      </c>
      <c r="M49" s="126"/>
      <c r="N49" s="633"/>
      <c r="O49" s="634"/>
      <c r="P49" s="635"/>
    </row>
    <row r="50" spans="2:16">
      <c r="B50" s="127"/>
      <c r="C50" s="111"/>
      <c r="D50" s="111"/>
      <c r="E50" s="111"/>
      <c r="F50" s="111"/>
      <c r="G50" s="111"/>
      <c r="H50" s="111"/>
      <c r="I50" s="123">
        <f>SUM(I45:I49)</f>
        <v>0</v>
      </c>
      <c r="J50" s="123">
        <f>SUM(J45:J49)</f>
        <v>0</v>
      </c>
      <c r="K50" s="123">
        <f>SUM(K45:K49)</f>
        <v>0</v>
      </c>
      <c r="L50" s="123">
        <f t="shared" si="2"/>
        <v>0</v>
      </c>
      <c r="M50" s="126"/>
      <c r="N50" s="633"/>
      <c r="O50" s="634"/>
      <c r="P50" s="635"/>
    </row>
    <row r="51" spans="2:16">
      <c r="B51" s="127"/>
      <c r="C51" s="111"/>
      <c r="D51" s="111"/>
      <c r="E51" s="111"/>
      <c r="F51" s="111"/>
      <c r="G51" s="111"/>
      <c r="H51" s="111"/>
      <c r="I51" s="111"/>
      <c r="J51" s="111"/>
      <c r="K51" s="111"/>
      <c r="L51" s="160"/>
      <c r="M51" s="126"/>
      <c r="N51" s="633"/>
      <c r="O51" s="634"/>
      <c r="P51" s="635"/>
    </row>
    <row r="52" spans="2:16">
      <c r="B52" s="127"/>
      <c r="M52" s="126"/>
      <c r="N52" s="633"/>
      <c r="O52" s="634"/>
      <c r="P52" s="635"/>
    </row>
    <row r="53" spans="2:16">
      <c r="B53" s="127"/>
      <c r="C53" s="111"/>
      <c r="D53" s="111"/>
      <c r="E53" s="111"/>
      <c r="F53" s="111"/>
      <c r="G53" s="111"/>
      <c r="H53" s="111"/>
      <c r="I53" s="111"/>
      <c r="J53" s="111"/>
      <c r="K53" s="111"/>
      <c r="L53" s="160"/>
      <c r="M53" s="126"/>
      <c r="N53" s="633"/>
      <c r="O53" s="634"/>
      <c r="P53" s="635"/>
    </row>
    <row r="54" spans="2:16">
      <c r="B54" s="127"/>
      <c r="C54" s="111"/>
      <c r="D54" s="111"/>
      <c r="E54" s="111"/>
      <c r="F54" s="111"/>
      <c r="G54" s="111"/>
      <c r="H54" s="111"/>
      <c r="I54" s="111"/>
      <c r="J54" s="111"/>
      <c r="K54" s="111"/>
      <c r="L54" s="160"/>
      <c r="M54" s="126"/>
      <c r="N54" s="633"/>
      <c r="O54" s="634"/>
      <c r="P54" s="635"/>
    </row>
    <row r="55" spans="2:16">
      <c r="B55" s="127"/>
      <c r="C55" s="643" t="s">
        <v>157</v>
      </c>
      <c r="D55" s="643"/>
      <c r="E55" s="643"/>
      <c r="F55" s="643"/>
      <c r="G55" s="643"/>
      <c r="H55" s="643"/>
      <c r="I55" s="643"/>
      <c r="J55" s="643"/>
      <c r="K55" s="643"/>
      <c r="L55" s="643"/>
      <c r="M55" s="126"/>
      <c r="N55" s="633"/>
      <c r="O55" s="634"/>
      <c r="P55" s="635"/>
    </row>
    <row r="56" spans="2:16" ht="20.399999999999999" customHeight="1">
      <c r="B56" s="127"/>
      <c r="D56" s="720" t="s">
        <v>3831</v>
      </c>
      <c r="E56" s="720"/>
      <c r="F56" s="720"/>
      <c r="I56" s="111"/>
      <c r="J56" s="720" t="s">
        <v>3834</v>
      </c>
      <c r="K56" s="720"/>
      <c r="L56" s="160"/>
      <c r="M56" s="126"/>
      <c r="N56" s="633"/>
      <c r="O56" s="634"/>
      <c r="P56" s="635"/>
    </row>
    <row r="57" spans="2:16" ht="37.75" customHeight="1">
      <c r="B57" s="127"/>
      <c r="D57" s="454" t="s">
        <v>3420</v>
      </c>
      <c r="E57" s="454" t="s">
        <v>3419</v>
      </c>
      <c r="F57" s="111"/>
      <c r="I57" s="111"/>
      <c r="J57" s="433"/>
      <c r="K57" s="160"/>
      <c r="L57" s="160"/>
      <c r="M57" s="126"/>
      <c r="N57" s="633"/>
      <c r="O57" s="634"/>
      <c r="P57" s="635"/>
    </row>
    <row r="58" spans="2:16" ht="52.75" customHeight="1">
      <c r="B58" s="127"/>
      <c r="D58" s="397" t="s">
        <v>3839</v>
      </c>
      <c r="E58" s="453" t="s">
        <v>3832</v>
      </c>
      <c r="F58" s="117" t="s">
        <v>80</v>
      </c>
      <c r="I58" s="160"/>
      <c r="J58" s="397" t="s">
        <v>3833</v>
      </c>
      <c r="K58" s="117" t="s">
        <v>80</v>
      </c>
      <c r="L58" s="160"/>
      <c r="M58" s="126"/>
      <c r="N58" s="633"/>
      <c r="O58" s="634"/>
      <c r="P58" s="635"/>
    </row>
    <row r="59" spans="2:16">
      <c r="B59" s="127"/>
      <c r="D59" s="163"/>
      <c r="E59" s="163"/>
      <c r="F59" s="123">
        <f>IF(ISBLANK(D59),E59*'BDD FE'!$C$430*10^-3,D59*('BDD FE'!$C$432+'BDD FE'!$C$433)*10^-3)</f>
        <v>0</v>
      </c>
      <c r="I59" s="160"/>
      <c r="J59" s="163"/>
      <c r="K59" s="123">
        <f>J59*'BDD FE'!$C$430*10^-3</f>
        <v>0</v>
      </c>
      <c r="L59" s="160"/>
      <c r="M59" s="126"/>
      <c r="N59" s="633"/>
      <c r="O59" s="634"/>
      <c r="P59" s="635"/>
    </row>
    <row r="60" spans="2:16">
      <c r="B60" s="127"/>
      <c r="D60" s="163"/>
      <c r="E60" s="163"/>
      <c r="F60" s="123">
        <f>IF(ISBLANK(D60),E60*'BDD FE'!$C$430*10^-3,D60*('BDD FE'!$C$432+'BDD FE'!$C$433))</f>
        <v>0</v>
      </c>
      <c r="I60" s="160"/>
      <c r="J60" s="163"/>
      <c r="K60" s="123">
        <f>J60*'BDD FE'!$C$430*10^-3</f>
        <v>0</v>
      </c>
      <c r="L60" s="160"/>
      <c r="M60" s="126"/>
      <c r="N60" s="633"/>
      <c r="O60" s="634"/>
      <c r="P60" s="635"/>
    </row>
    <row r="61" spans="2:16">
      <c r="B61" s="127"/>
      <c r="D61" s="163"/>
      <c r="E61" s="163"/>
      <c r="F61" s="123">
        <f>IF(ISBLANK(D61),E61*'BDD FE'!$C$430*10^-3,D61*('BDD FE'!$C$432+'BDD FE'!$C$433))</f>
        <v>0</v>
      </c>
      <c r="I61" s="160"/>
      <c r="J61" s="163"/>
      <c r="K61" s="123">
        <f>J61*'BDD FE'!$C$430*10^-3</f>
        <v>0</v>
      </c>
      <c r="L61" s="160"/>
      <c r="M61" s="126"/>
      <c r="N61" s="633"/>
      <c r="O61" s="634"/>
      <c r="P61" s="635"/>
    </row>
    <row r="62" spans="2:16">
      <c r="B62" s="127"/>
      <c r="D62" s="163"/>
      <c r="E62" s="163"/>
      <c r="F62" s="123">
        <f>IF(ISBLANK(D62),E62*'BDD FE'!$C$430*10^-3,D62*('BDD FE'!$C$432+'BDD FE'!$C$433))</f>
        <v>0</v>
      </c>
      <c r="I62" s="160"/>
      <c r="J62" s="163"/>
      <c r="K62" s="123">
        <f>J62*'BDD FE'!$C$430*10^-3</f>
        <v>0</v>
      </c>
      <c r="L62" s="160"/>
      <c r="M62" s="126"/>
      <c r="N62" s="633"/>
      <c r="O62" s="634"/>
      <c r="P62" s="635"/>
    </row>
    <row r="63" spans="2:16">
      <c r="B63" s="127"/>
      <c r="C63" s="111"/>
      <c r="D63" s="414"/>
      <c r="E63" s="111"/>
      <c r="F63" s="123">
        <f>SUM(F59:F62)</f>
        <v>0</v>
      </c>
      <c r="G63" s="160"/>
      <c r="H63" s="160"/>
      <c r="I63" s="160"/>
      <c r="J63" s="111"/>
      <c r="K63" s="123">
        <f>SUM(K59:K62)</f>
        <v>0</v>
      </c>
      <c r="L63" s="160"/>
      <c r="M63" s="126"/>
      <c r="N63" s="633"/>
      <c r="O63" s="634"/>
      <c r="P63" s="635"/>
    </row>
    <row r="64" spans="2:16">
      <c r="B64" s="127"/>
      <c r="C64" s="111"/>
      <c r="D64" s="414"/>
      <c r="E64" s="111"/>
      <c r="F64" s="111"/>
      <c r="G64" s="160"/>
      <c r="H64" s="160"/>
      <c r="I64" s="160"/>
      <c r="J64" s="160"/>
      <c r="K64" s="160"/>
      <c r="L64" s="160"/>
      <c r="M64" s="126"/>
      <c r="N64" s="633"/>
      <c r="O64" s="634"/>
      <c r="P64" s="635"/>
    </row>
    <row r="65" spans="2:16">
      <c r="B65" s="127"/>
      <c r="C65" s="111"/>
      <c r="D65" s="414"/>
      <c r="E65" s="111"/>
      <c r="F65" s="111"/>
      <c r="G65" s="160"/>
      <c r="H65" s="160"/>
      <c r="I65" s="160"/>
      <c r="J65" s="160"/>
      <c r="K65" s="160"/>
      <c r="L65" s="160"/>
      <c r="M65" s="126"/>
      <c r="N65" s="633"/>
      <c r="O65" s="634"/>
      <c r="P65" s="635"/>
    </row>
    <row r="66" spans="2:16">
      <c r="B66" s="127"/>
      <c r="C66" s="111"/>
      <c r="D66" s="414"/>
      <c r="E66" s="111"/>
      <c r="F66" s="111"/>
      <c r="G66" s="160"/>
      <c r="H66" s="160"/>
      <c r="I66" s="160"/>
      <c r="J66" s="160"/>
      <c r="K66" s="160"/>
      <c r="L66" s="160"/>
      <c r="M66" s="126"/>
      <c r="N66" s="633"/>
      <c r="O66" s="634"/>
      <c r="P66" s="635"/>
    </row>
    <row r="67" spans="2:16">
      <c r="B67" s="127"/>
      <c r="C67" s="111"/>
      <c r="E67" s="111"/>
      <c r="F67" s="111"/>
      <c r="G67" s="111"/>
      <c r="H67" s="111"/>
      <c r="I67" s="111"/>
      <c r="J67" s="111"/>
      <c r="K67" s="111"/>
      <c r="L67" s="111"/>
      <c r="M67" s="126"/>
      <c r="N67" s="633"/>
      <c r="O67" s="634"/>
      <c r="P67" s="635"/>
    </row>
    <row r="68" spans="2:16">
      <c r="B68" s="127"/>
      <c r="C68" s="111"/>
      <c r="D68" s="111"/>
      <c r="E68" s="111"/>
      <c r="F68" s="111"/>
      <c r="G68" s="111"/>
      <c r="H68" s="111"/>
      <c r="I68" s="111"/>
      <c r="J68" s="111"/>
      <c r="K68" s="111"/>
      <c r="L68" s="111"/>
      <c r="M68" s="126"/>
      <c r="N68" s="639"/>
      <c r="O68" s="640"/>
      <c r="P68" s="641"/>
    </row>
    <row r="69" spans="2:16">
      <c r="B69" s="127"/>
      <c r="M69" s="126"/>
      <c r="N69" s="145"/>
      <c r="P69" s="149"/>
    </row>
    <row r="70" spans="2:16">
      <c r="B70" s="127"/>
      <c r="M70" s="126"/>
      <c r="N70" s="145"/>
      <c r="P70" s="149"/>
    </row>
    <row r="71" spans="2:16" ht="15" thickBot="1">
      <c r="B71" s="142"/>
      <c r="C71" s="143"/>
      <c r="D71" s="143"/>
      <c r="E71" s="143"/>
      <c r="F71" s="143"/>
      <c r="G71" s="143"/>
      <c r="H71" s="143"/>
      <c r="I71" s="143"/>
      <c r="J71" s="143"/>
      <c r="K71" s="143"/>
      <c r="L71" s="143"/>
      <c r="M71" s="144"/>
      <c r="N71" s="145"/>
      <c r="P71" s="149"/>
    </row>
    <row r="72" spans="2:16" ht="15" thickBot="1">
      <c r="N72" s="150"/>
      <c r="O72" s="151"/>
      <c r="P72" s="152"/>
    </row>
    <row r="73" spans="2:16"/>
    <row r="74" spans="2:16"/>
    <row r="75" spans="2:16"/>
    <row r="76" spans="2:16"/>
    <row r="77" spans="2:16"/>
    <row r="78" spans="2:16"/>
    <row r="79" spans="2:16"/>
    <row r="97"/>
    <row r="100"/>
    <row r="101"/>
    <row r="102"/>
    <row r="103"/>
  </sheetData>
  <protectedRanges>
    <protectedRange sqref="C45:G49 C27:G39 D17:F21 J59:J62 D59:E62" name="Plage1"/>
    <protectedRange sqref="N3 N8:N11 N28:N38" name="Plage1_1"/>
  </protectedRanges>
  <mergeCells count="15">
    <mergeCell ref="A1:A2"/>
    <mergeCell ref="C43:L43"/>
    <mergeCell ref="C25:L25"/>
    <mergeCell ref="N1:P1"/>
    <mergeCell ref="B1:M1"/>
    <mergeCell ref="C4:L13"/>
    <mergeCell ref="N2:P2"/>
    <mergeCell ref="N3:P6"/>
    <mergeCell ref="N8:P26"/>
    <mergeCell ref="N27:P27"/>
    <mergeCell ref="N28:P68"/>
    <mergeCell ref="D56:F56"/>
    <mergeCell ref="J56:K56"/>
    <mergeCell ref="C55:L55"/>
    <mergeCell ref="C15:L15"/>
  </mergeCells>
  <dataValidations count="1">
    <dataValidation type="list" allowBlank="1" showInputMessage="1" showErrorMessage="1" sqref="C27:C39" xr:uid="{00000000-0002-0000-0D00-000000000000}">
      <formula1>"Vidéo,Streaming,Audio"</formula1>
    </dataValidation>
  </dataValidations>
  <hyperlinks>
    <hyperlink ref="A6" location="'1_Votre Structure'!A1" display="Votre structure" xr:uid="{30D8FACE-457B-4C3D-AF1A-28DF56C38277}"/>
    <hyperlink ref="A7" location="'2_ConsoEnergieEau'!A1" display="Consommation d'énergie et d'eau" xr:uid="{2D14FD3B-EE7E-4750-99F5-BFE3B798D630}"/>
    <hyperlink ref="A8" location="'3_Climatisation'!A1" display="Climatisation" xr:uid="{29D032AF-05D7-42EC-855C-9CFB47BA593B}"/>
    <hyperlink ref="A12" location="'7_DéplacementsProfessionnels'!A1" display="Déplacements professionnels" xr:uid="{44F6D2BD-8460-42C2-8E75-6929375E96A6}"/>
    <hyperlink ref="A13" location="'8_DéplacementsSalariés'!A1" display="Déplacements des salariés" xr:uid="{5000E11D-B941-42AD-B9CB-5D09141EEBEB}"/>
    <hyperlink ref="A17" location="'12_Equipements'!A1" display="Equipements" xr:uid="{CDDA9D00-2EF0-43D3-8544-230A64B3D948}"/>
    <hyperlink ref="A10" location="'5_Déchets'!A1" display="Déchets" xr:uid="{2D66961D-43AC-49DF-9C44-1A7E5C408D8C}"/>
    <hyperlink ref="A22" location="'17_TransportMatériel'!A1" display="Transport de matériel et d'œuvres" xr:uid="{725E0B53-52E8-4489-BEBA-D76F0CF06C54}"/>
    <hyperlink ref="A23" location="'18_ImpressionsComPapier'!A1" display="Impression et communication papier" xr:uid="{9A18234C-6B9C-45E5-8657-0241D0E615C5}"/>
    <hyperlink ref="A24" location="'19_ComDigitale'!A1" display="Communication digitale" xr:uid="{AE527CDA-D0AE-495E-8562-53193D893D72}"/>
    <hyperlink ref="A25" location="'20_Billetterie'!A1" display="Billetterie" xr:uid="{E9AC4FF3-4954-4434-ADF4-AAEE781D7A99}"/>
    <hyperlink ref="A20" location="'15_Alimentation'!A1" display="Alimentation" xr:uid="{05F1F8EC-4C09-4D7B-AF0D-67833EF8C864}"/>
    <hyperlink ref="A14" location="'9_DéplacementsVisiteurs'!A1" display="Déplacements des visiteurs" xr:uid="{7FFAEE22-BDCE-40ED-98DB-551D2D5974B4}"/>
    <hyperlink ref="A15" location="'10_Tournées artistiques'!A1" display="Tournées artistiques" xr:uid="{3DC194EC-8EB5-4EDA-A9C8-556D2B3D3F40}"/>
    <hyperlink ref="A16" location="'11_Artistes invité.e.s'!A1" display="Artistes invité.e.s" xr:uid="{31B47C22-2184-4CB9-9F31-43784F83C24E}"/>
    <hyperlink ref="A9" location="'4_Bâtiments,travaux, agcmt'!A1" display="Bâtiments, travaux et agencements" xr:uid="{E87304F8-99B0-48D7-8A01-11C634809315}"/>
    <hyperlink ref="A18" location="'13_Achats - Documents papiers'!A1" display="Achats - Documents papiers" xr:uid="{3F0649B6-F5AB-439A-A3EA-A0B33B41C05C}"/>
    <hyperlink ref="A21" location="'16_Autres achats (€)'!A1" display="Autres achats" xr:uid="{EC624A58-EAD1-4294-969E-87BF896B8D17}"/>
    <hyperlink ref="A19" location="'14_Décors'!A1" display="Décors" xr:uid="{C3D5839F-964F-4401-8C5B-CF6CFA26BE3E}"/>
    <hyperlink ref="A11" location="'6_DéplacementsPrestations'!A1" display="Déplacements de prestations" xr:uid="{8B42BC47-7FF3-4F17-88D2-F45101D99B74}"/>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S93"/>
  <sheetViews>
    <sheetView showGridLines="0" topLeftCell="A53" zoomScale="69" workbookViewId="0">
      <selection activeCell="K71" sqref="K71"/>
    </sheetView>
  </sheetViews>
  <sheetFormatPr baseColWidth="10" defaultColWidth="0" defaultRowHeight="14.5"/>
  <cols>
    <col min="1" max="1" width="25.81640625" bestFit="1" customWidth="1"/>
    <col min="2" max="13" width="17.08984375" customWidth="1"/>
    <col min="14" max="16" width="11.1796875" customWidth="1"/>
    <col min="17" max="17" width="11.453125" style="112" customWidth="1"/>
    <col min="18" max="19" width="0" hidden="1" customWidth="1"/>
    <col min="20" max="16384" width="11.1796875" hidden="1"/>
  </cols>
  <sheetData>
    <row r="1" spans="1:16" ht="20.25" customHeight="1" thickBot="1">
      <c r="A1" s="647" t="s">
        <v>3359</v>
      </c>
      <c r="B1" s="649" t="s">
        <v>3444</v>
      </c>
      <c r="C1" s="572"/>
      <c r="D1" s="572"/>
      <c r="E1" s="572"/>
      <c r="F1" s="572"/>
      <c r="G1" s="572"/>
      <c r="H1" s="572"/>
      <c r="I1" s="572"/>
      <c r="J1" s="572"/>
      <c r="K1" s="572"/>
      <c r="L1" s="572"/>
      <c r="M1" s="572"/>
      <c r="N1" s="656" t="s">
        <v>3391</v>
      </c>
      <c r="O1" s="657"/>
      <c r="P1" s="658"/>
    </row>
    <row r="2" spans="1:16" ht="18" thickBot="1">
      <c r="A2" s="648"/>
      <c r="B2" s="145"/>
      <c r="C2" s="111"/>
      <c r="D2" s="111"/>
      <c r="E2" s="111"/>
      <c r="F2" s="111"/>
      <c r="H2" s="504">
        <f>L28+I84+K47</f>
        <v>0</v>
      </c>
      <c r="J2" s="111"/>
      <c r="K2" s="111"/>
      <c r="L2" s="111"/>
      <c r="M2" s="111"/>
      <c r="N2" s="613" t="s">
        <v>3457</v>
      </c>
      <c r="O2" s="614"/>
      <c r="P2" s="615"/>
    </row>
    <row r="3" spans="1:16">
      <c r="A3" s="338"/>
      <c r="B3" s="145"/>
      <c r="C3" s="111"/>
      <c r="D3" s="111"/>
      <c r="E3" s="111"/>
      <c r="F3" s="111"/>
      <c r="G3" s="111"/>
      <c r="H3" s="111"/>
      <c r="I3" s="111"/>
      <c r="J3" s="111"/>
      <c r="K3" s="111"/>
      <c r="L3" s="111"/>
      <c r="M3" s="111"/>
      <c r="N3" s="633"/>
      <c r="O3" s="634"/>
      <c r="P3" s="635"/>
    </row>
    <row r="4" spans="1:16" ht="14.4" customHeight="1">
      <c r="A4" s="338"/>
      <c r="B4" s="145"/>
      <c r="C4" s="389"/>
      <c r="D4" s="389"/>
      <c r="E4" s="389"/>
      <c r="F4" s="389"/>
      <c r="G4" s="389"/>
      <c r="H4" s="389"/>
      <c r="I4" s="389"/>
      <c r="J4" s="389"/>
      <c r="K4" s="389"/>
      <c r="L4" s="389"/>
      <c r="M4" s="111"/>
      <c r="N4" s="633"/>
      <c r="O4" s="634"/>
      <c r="P4" s="635"/>
    </row>
    <row r="5" spans="1:16" ht="31.75" customHeight="1">
      <c r="A5" s="338"/>
      <c r="B5" s="145"/>
      <c r="C5" s="721" t="s">
        <v>4048</v>
      </c>
      <c r="D5" s="722"/>
      <c r="E5" s="722"/>
      <c r="F5" s="722"/>
      <c r="G5" s="722"/>
      <c r="H5" s="722"/>
      <c r="I5" s="722"/>
      <c r="J5" s="722"/>
      <c r="K5" s="722"/>
      <c r="L5" s="722"/>
      <c r="M5" s="111"/>
      <c r="N5" s="633"/>
      <c r="O5" s="634"/>
      <c r="P5" s="635"/>
    </row>
    <row r="6" spans="1:16">
      <c r="A6" s="341" t="s">
        <v>3357</v>
      </c>
      <c r="B6" s="145"/>
      <c r="C6" s="722"/>
      <c r="D6" s="722"/>
      <c r="E6" s="722"/>
      <c r="F6" s="722"/>
      <c r="G6" s="722"/>
      <c r="H6" s="722"/>
      <c r="I6" s="722"/>
      <c r="J6" s="722"/>
      <c r="K6" s="722"/>
      <c r="L6" s="722"/>
      <c r="M6" s="111"/>
      <c r="N6" s="639"/>
      <c r="O6" s="640"/>
      <c r="P6" s="641"/>
    </row>
    <row r="7" spans="1:16" ht="17.399999999999999" customHeight="1">
      <c r="A7" s="339" t="s">
        <v>3434</v>
      </c>
      <c r="B7" s="145"/>
      <c r="C7" s="722"/>
      <c r="D7" s="722"/>
      <c r="E7" s="722"/>
      <c r="F7" s="722"/>
      <c r="G7" s="722"/>
      <c r="H7" s="722"/>
      <c r="I7" s="722"/>
      <c r="J7" s="722"/>
      <c r="K7" s="722"/>
      <c r="L7" s="722"/>
      <c r="M7" s="111"/>
      <c r="N7" s="246" t="s">
        <v>3458</v>
      </c>
      <c r="O7" s="343"/>
      <c r="P7" s="344"/>
    </row>
    <row r="8" spans="1:16">
      <c r="A8" s="339" t="s">
        <v>7</v>
      </c>
      <c r="B8" s="145"/>
      <c r="C8" s="416"/>
      <c r="D8" s="389"/>
      <c r="E8" s="389"/>
      <c r="F8" s="389"/>
      <c r="G8" s="389"/>
      <c r="H8" s="389"/>
      <c r="I8" s="389"/>
      <c r="J8" s="389"/>
      <c r="K8" s="389"/>
      <c r="L8" s="389"/>
      <c r="M8" s="415"/>
      <c r="N8" s="633"/>
      <c r="O8" s="634"/>
      <c r="P8" s="635"/>
    </row>
    <row r="9" spans="1:16">
      <c r="A9" s="339" t="s">
        <v>3427</v>
      </c>
      <c r="B9" s="145"/>
      <c r="C9" s="723" t="s">
        <v>4047</v>
      </c>
      <c r="D9" s="724"/>
      <c r="E9" s="724"/>
      <c r="F9" s="724"/>
      <c r="G9" s="724"/>
      <c r="H9" s="724"/>
      <c r="I9" s="724"/>
      <c r="J9" s="724"/>
      <c r="K9" s="724"/>
      <c r="L9" s="724"/>
      <c r="M9" s="413"/>
      <c r="N9" s="633"/>
      <c r="O9" s="634"/>
      <c r="P9" s="635"/>
    </row>
    <row r="10" spans="1:16">
      <c r="A10" s="340" t="s">
        <v>10</v>
      </c>
      <c r="B10" s="145"/>
      <c r="C10" s="111"/>
      <c r="D10" s="111"/>
      <c r="E10" s="111"/>
      <c r="F10" s="111"/>
      <c r="G10" s="111"/>
      <c r="H10" s="111"/>
      <c r="I10" s="111"/>
      <c r="J10" s="111"/>
      <c r="K10" s="111"/>
      <c r="L10" s="111"/>
      <c r="M10" s="395"/>
      <c r="N10" s="633"/>
      <c r="O10" s="634"/>
      <c r="P10" s="635"/>
    </row>
    <row r="11" spans="1:16">
      <c r="A11" s="340" t="s">
        <v>3645</v>
      </c>
      <c r="B11" s="145"/>
      <c r="C11" s="627" t="s">
        <v>3687</v>
      </c>
      <c r="D11" s="628"/>
      <c r="E11" s="628"/>
      <c r="F11" s="628"/>
      <c r="G11" s="628"/>
      <c r="H11" s="628"/>
      <c r="I11" s="628"/>
      <c r="J11" s="628"/>
      <c r="K11" s="628"/>
      <c r="L11" s="628"/>
      <c r="M11" s="414"/>
      <c r="N11" s="633"/>
      <c r="O11" s="634"/>
      <c r="P11" s="635"/>
    </row>
    <row r="12" spans="1:16">
      <c r="A12" s="339" t="s">
        <v>3431</v>
      </c>
      <c r="B12" s="145"/>
      <c r="C12" s="111"/>
      <c r="D12" s="111"/>
      <c r="E12" s="111"/>
      <c r="F12" s="667" t="s">
        <v>123</v>
      </c>
      <c r="G12" s="668"/>
      <c r="H12" s="111"/>
      <c r="I12" s="111"/>
      <c r="J12" s="111"/>
      <c r="K12" s="111"/>
      <c r="L12" s="111"/>
      <c r="M12" s="414"/>
      <c r="N12" s="633"/>
      <c r="O12" s="634"/>
      <c r="P12" s="635"/>
    </row>
    <row r="13" spans="1:16" ht="37.5">
      <c r="A13" s="340" t="s">
        <v>5</v>
      </c>
      <c r="B13" s="145"/>
      <c r="C13" s="117" t="s">
        <v>158</v>
      </c>
      <c r="D13" s="117" t="s">
        <v>159</v>
      </c>
      <c r="E13" s="117" t="s">
        <v>122</v>
      </c>
      <c r="F13" s="122" t="s">
        <v>131</v>
      </c>
      <c r="G13" s="122" t="s">
        <v>132</v>
      </c>
      <c r="H13" s="193" t="s">
        <v>124</v>
      </c>
      <c r="I13" s="117" t="s">
        <v>125</v>
      </c>
      <c r="J13" s="117" t="s">
        <v>126</v>
      </c>
      <c r="K13" s="117" t="s">
        <v>160</v>
      </c>
      <c r="L13" s="117" t="s">
        <v>80</v>
      </c>
      <c r="M13" s="414"/>
      <c r="N13" s="633"/>
      <c r="O13" s="634"/>
      <c r="P13" s="635"/>
    </row>
    <row r="14" spans="1:16">
      <c r="A14" s="339" t="s">
        <v>6</v>
      </c>
      <c r="B14" s="145"/>
      <c r="C14" s="118"/>
      <c r="D14" s="163"/>
      <c r="E14" s="163"/>
      <c r="F14" s="163"/>
      <c r="G14" s="163"/>
      <c r="H14" s="191">
        <f t="shared" ref="H14:H27" si="0">IFERROR(F14*G14*10^-6*10^-3*D14*E14,0)</f>
        <v>0</v>
      </c>
      <c r="I14" s="123">
        <f>H14*'BDD FE'!$C$367*10^-3</f>
        <v>0</v>
      </c>
      <c r="J14" s="123">
        <f>IFERROR(F14*G14*10^-6*'BDD FE'!$C$364*10^-3,0)</f>
        <v>0</v>
      </c>
      <c r="K14" s="123">
        <f>H14*10^-3*'BDD FE'!$C$368*10^-3</f>
        <v>0</v>
      </c>
      <c r="L14" s="123">
        <f t="shared" ref="L14:L27" si="1">SUM(I14:K14)</f>
        <v>0</v>
      </c>
      <c r="M14" s="414"/>
      <c r="N14" s="633"/>
      <c r="O14" s="634"/>
      <c r="P14" s="635"/>
    </row>
    <row r="15" spans="1:16">
      <c r="A15" s="340" t="s">
        <v>12</v>
      </c>
      <c r="B15" s="145"/>
      <c r="C15" s="118"/>
      <c r="D15" s="163"/>
      <c r="E15" s="163"/>
      <c r="F15" s="163"/>
      <c r="G15" s="163"/>
      <c r="H15" s="191">
        <f t="shared" si="0"/>
        <v>0</v>
      </c>
      <c r="I15" s="123">
        <f>H15*'BDD FE'!$C$367*10^-3</f>
        <v>0</v>
      </c>
      <c r="J15" s="123">
        <f>IFERROR(F15*G15*10^-6*'BDD FE'!$C$364*10^-3,0)</f>
        <v>0</v>
      </c>
      <c r="K15" s="123">
        <f>H15*10^-3*'BDD FE'!$C$368*10^-3</f>
        <v>0</v>
      </c>
      <c r="L15" s="123">
        <f>SUM(I15:K15)</f>
        <v>0</v>
      </c>
      <c r="M15" s="414"/>
      <c r="N15" s="633"/>
      <c r="O15" s="634"/>
      <c r="P15" s="635"/>
    </row>
    <row r="16" spans="1:16">
      <c r="A16" s="340" t="s">
        <v>14</v>
      </c>
      <c r="B16" s="145"/>
      <c r="C16" s="118"/>
      <c r="D16" s="163"/>
      <c r="E16" s="163"/>
      <c r="F16" s="163"/>
      <c r="G16" s="163"/>
      <c r="H16" s="191">
        <f t="shared" si="0"/>
        <v>0</v>
      </c>
      <c r="I16" s="123">
        <f>H16*'BDD FE'!$C$367*10^-3</f>
        <v>0</v>
      </c>
      <c r="J16" s="123">
        <f>IFERROR(F16*G16*10^-6*'BDD FE'!$C$364*10^-3,0)</f>
        <v>0</v>
      </c>
      <c r="K16" s="123">
        <f>H16*10^-3*'BDD FE'!$C$368*10^-3</f>
        <v>0</v>
      </c>
      <c r="L16" s="123">
        <f t="shared" si="1"/>
        <v>0</v>
      </c>
      <c r="M16" s="414"/>
      <c r="N16" s="633"/>
      <c r="O16" s="634"/>
      <c r="P16" s="635"/>
    </row>
    <row r="17" spans="1:16">
      <c r="A17" s="339" t="s">
        <v>3426</v>
      </c>
      <c r="B17" s="145"/>
      <c r="C17" s="118"/>
      <c r="D17" s="163"/>
      <c r="E17" s="163"/>
      <c r="F17" s="163"/>
      <c r="G17" s="163"/>
      <c r="H17" s="191">
        <f t="shared" si="0"/>
        <v>0</v>
      </c>
      <c r="I17" s="123">
        <f>H17*'BDD FE'!$C$367*10^-3</f>
        <v>0</v>
      </c>
      <c r="J17" s="123">
        <f>IFERROR(F17*G17*10^-6*'BDD FE'!$C$364*10^-3,0)</f>
        <v>0</v>
      </c>
      <c r="K17" s="123">
        <f>H17*10^-3*'BDD FE'!$C$368*10^-3</f>
        <v>0</v>
      </c>
      <c r="L17" s="123">
        <f t="shared" si="1"/>
        <v>0</v>
      </c>
      <c r="M17" s="414"/>
      <c r="N17" s="633"/>
      <c r="O17" s="634"/>
      <c r="P17" s="635"/>
    </row>
    <row r="18" spans="1:16">
      <c r="A18" s="340" t="s">
        <v>3918</v>
      </c>
      <c r="B18" s="145"/>
      <c r="C18" s="118"/>
      <c r="D18" s="163"/>
      <c r="E18" s="163"/>
      <c r="F18" s="163"/>
      <c r="G18" s="163"/>
      <c r="H18" s="191">
        <f t="shared" si="0"/>
        <v>0</v>
      </c>
      <c r="I18" s="123">
        <f>H18*'BDD FE'!$C$367*10^-3</f>
        <v>0</v>
      </c>
      <c r="J18" s="123">
        <f>IFERROR(F18*G18*10^-6*'BDD FE'!$C$364*10^-3,0)</f>
        <v>0</v>
      </c>
      <c r="K18" s="123">
        <f>H18*10^-3*'BDD FE'!$C$368*10^-3</f>
        <v>0</v>
      </c>
      <c r="L18" s="123">
        <f t="shared" si="1"/>
        <v>0</v>
      </c>
      <c r="M18" s="414"/>
      <c r="N18" s="633"/>
      <c r="O18" s="634"/>
      <c r="P18" s="635"/>
    </row>
    <row r="19" spans="1:16">
      <c r="A19" s="340" t="s">
        <v>3436</v>
      </c>
      <c r="B19" s="145"/>
      <c r="C19" s="118"/>
      <c r="D19" s="163"/>
      <c r="E19" s="163"/>
      <c r="F19" s="163"/>
      <c r="G19" s="163"/>
      <c r="H19" s="191">
        <f t="shared" si="0"/>
        <v>0</v>
      </c>
      <c r="I19" s="123">
        <f>H19*'BDD FE'!$C$367*10^-3</f>
        <v>0</v>
      </c>
      <c r="J19" s="123">
        <f>IFERROR(F19*G19*10^-6*'BDD FE'!$C$364*10^-3,0)</f>
        <v>0</v>
      </c>
      <c r="K19" s="123">
        <f>H19*10^-3*'BDD FE'!$C$368*10^-3</f>
        <v>0</v>
      </c>
      <c r="L19" s="123">
        <f t="shared" si="1"/>
        <v>0</v>
      </c>
      <c r="M19" s="414"/>
      <c r="N19" s="633"/>
      <c r="O19" s="634"/>
      <c r="P19" s="635"/>
    </row>
    <row r="20" spans="1:16">
      <c r="A20" s="340" t="s">
        <v>3378</v>
      </c>
      <c r="B20" s="145"/>
      <c r="C20" s="118"/>
      <c r="D20" s="163"/>
      <c r="E20" s="163"/>
      <c r="F20" s="163"/>
      <c r="G20" s="163"/>
      <c r="H20" s="191">
        <f t="shared" si="0"/>
        <v>0</v>
      </c>
      <c r="I20" s="123">
        <f>H20*'BDD FE'!$C$367*10^-3</f>
        <v>0</v>
      </c>
      <c r="J20" s="123">
        <f>IFERROR(F20*G20*10^-6*'BDD FE'!$C$364*10^-3,0)</f>
        <v>0</v>
      </c>
      <c r="K20" s="123">
        <f>H20*10^-3*'BDD FE'!$C$368*10^-3</f>
        <v>0</v>
      </c>
      <c r="L20" s="123">
        <f t="shared" si="1"/>
        <v>0</v>
      </c>
      <c r="M20" s="414"/>
      <c r="N20" s="633"/>
      <c r="O20" s="634"/>
      <c r="P20" s="635"/>
    </row>
    <row r="21" spans="1:16">
      <c r="A21" s="339" t="s">
        <v>3430</v>
      </c>
      <c r="B21" s="145"/>
      <c r="C21" s="118"/>
      <c r="D21" s="163"/>
      <c r="E21" s="163"/>
      <c r="F21" s="163"/>
      <c r="G21" s="163"/>
      <c r="H21" s="191">
        <f t="shared" si="0"/>
        <v>0</v>
      </c>
      <c r="I21" s="123">
        <f>H21*'BDD FE'!$C$367*10^-3</f>
        <v>0</v>
      </c>
      <c r="J21" s="123">
        <f>IFERROR(F21*G21*10^-6*'BDD FE'!$C$364*10^-3,0)</f>
        <v>0</v>
      </c>
      <c r="K21" s="123">
        <f>H21*10^-3*'BDD FE'!$C$368*10^-3</f>
        <v>0</v>
      </c>
      <c r="L21" s="123">
        <f t="shared" si="1"/>
        <v>0</v>
      </c>
      <c r="M21" s="414"/>
      <c r="N21" s="633"/>
      <c r="O21" s="634"/>
      <c r="P21" s="635"/>
    </row>
    <row r="22" spans="1:16">
      <c r="A22" s="340" t="s">
        <v>3433</v>
      </c>
      <c r="B22" s="145"/>
      <c r="C22" s="118"/>
      <c r="D22" s="163"/>
      <c r="E22" s="163"/>
      <c r="F22" s="163"/>
      <c r="G22" s="163"/>
      <c r="H22" s="191">
        <f t="shared" si="0"/>
        <v>0</v>
      </c>
      <c r="I22" s="123">
        <f>H22*'BDD FE'!$C$367*10^-3</f>
        <v>0</v>
      </c>
      <c r="J22" s="123">
        <f>IFERROR(F22*G22*10^-6*'BDD FE'!$C$364*10^-3,0)</f>
        <v>0</v>
      </c>
      <c r="K22" s="123">
        <f>H22*10^-3*'BDD FE'!$C$368*10^-3</f>
        <v>0</v>
      </c>
      <c r="L22" s="123">
        <f t="shared" si="1"/>
        <v>0</v>
      </c>
      <c r="M22" s="414"/>
      <c r="N22" s="633"/>
      <c r="O22" s="634"/>
      <c r="P22" s="635"/>
    </row>
    <row r="23" spans="1:16">
      <c r="A23" s="340" t="s">
        <v>3428</v>
      </c>
      <c r="B23" s="145"/>
      <c r="C23" s="118"/>
      <c r="D23" s="163"/>
      <c r="E23" s="163"/>
      <c r="F23" s="163"/>
      <c r="G23" s="163"/>
      <c r="H23" s="191">
        <f t="shared" si="0"/>
        <v>0</v>
      </c>
      <c r="I23" s="123">
        <f>H23*'BDD FE'!$C$367*10^-3</f>
        <v>0</v>
      </c>
      <c r="J23" s="123">
        <f>IFERROR(F23*G23*10^-6*'BDD FE'!$C$364*10^-3,0)</f>
        <v>0</v>
      </c>
      <c r="K23" s="123">
        <f>H23*10^-3*'BDD FE'!$C$368*10^-3</f>
        <v>0</v>
      </c>
      <c r="L23" s="123">
        <f t="shared" si="1"/>
        <v>0</v>
      </c>
      <c r="M23" s="414"/>
      <c r="N23" s="633"/>
      <c r="O23" s="634"/>
      <c r="P23" s="635"/>
    </row>
    <row r="24" spans="1:16">
      <c r="A24" s="340" t="s">
        <v>11</v>
      </c>
      <c r="B24" s="145"/>
      <c r="C24" s="118"/>
      <c r="D24" s="163"/>
      <c r="E24" s="163"/>
      <c r="F24" s="163"/>
      <c r="G24" s="163"/>
      <c r="H24" s="191">
        <f t="shared" si="0"/>
        <v>0</v>
      </c>
      <c r="I24" s="123">
        <f>H24*'BDD FE'!$C$367*10^-3</f>
        <v>0</v>
      </c>
      <c r="J24" s="123">
        <f>IFERROR(F24*G24*10^-6*'BDD FE'!$C$364*10^-3,0)</f>
        <v>0</v>
      </c>
      <c r="K24" s="123">
        <f>H24*10^-3*'BDD FE'!$C$368*10^-3</f>
        <v>0</v>
      </c>
      <c r="L24" s="123">
        <f t="shared" si="1"/>
        <v>0</v>
      </c>
      <c r="M24" s="414"/>
      <c r="N24" s="633"/>
      <c r="O24" s="634"/>
      <c r="P24" s="635"/>
    </row>
    <row r="25" spans="1:16">
      <c r="A25" s="340" t="s">
        <v>13</v>
      </c>
      <c r="B25" s="145"/>
      <c r="C25" s="118"/>
      <c r="D25" s="163"/>
      <c r="E25" s="163"/>
      <c r="F25" s="163"/>
      <c r="G25" s="163"/>
      <c r="H25" s="191">
        <f t="shared" si="0"/>
        <v>0</v>
      </c>
      <c r="I25" s="123">
        <f>H25*'BDD FE'!$C$367*10^-3</f>
        <v>0</v>
      </c>
      <c r="J25" s="123">
        <f>IFERROR(F25*G25*10^-6*'BDD FE'!$C$364*10^-3,0)</f>
        <v>0</v>
      </c>
      <c r="K25" s="123">
        <f>H25*10^-3*'BDD FE'!$C$368*10^-3</f>
        <v>0</v>
      </c>
      <c r="L25" s="123">
        <f t="shared" si="1"/>
        <v>0</v>
      </c>
      <c r="M25" s="414"/>
      <c r="N25" s="633"/>
      <c r="O25" s="634"/>
      <c r="P25" s="635"/>
    </row>
    <row r="26" spans="1:16">
      <c r="B26" s="145"/>
      <c r="C26" s="118"/>
      <c r="D26" s="163"/>
      <c r="E26" s="163"/>
      <c r="F26" s="163"/>
      <c r="G26" s="163"/>
      <c r="H26" s="191">
        <f t="shared" si="0"/>
        <v>0</v>
      </c>
      <c r="I26" s="123">
        <f>H26*'BDD FE'!$C$367*10^-3</f>
        <v>0</v>
      </c>
      <c r="J26" s="123">
        <f>IFERROR(F26*G26*10^-6*'BDD FE'!$C$364*10^-3,0)</f>
        <v>0</v>
      </c>
      <c r="K26" s="123">
        <f>H26*10^-3*'BDD FE'!$C$368*10^-3</f>
        <v>0</v>
      </c>
      <c r="L26" s="123">
        <f t="shared" si="1"/>
        <v>0</v>
      </c>
      <c r="M26" s="111"/>
      <c r="N26" s="639"/>
      <c r="O26" s="640"/>
      <c r="P26" s="641"/>
    </row>
    <row r="27" spans="1:16">
      <c r="B27" s="145"/>
      <c r="C27" s="118"/>
      <c r="D27" s="163"/>
      <c r="E27" s="163"/>
      <c r="F27" s="163"/>
      <c r="G27" s="163"/>
      <c r="H27" s="191">
        <f t="shared" si="0"/>
        <v>0</v>
      </c>
      <c r="I27" s="123">
        <f>H27*'BDD FE'!$C$367*10^-3</f>
        <v>0</v>
      </c>
      <c r="J27" s="123">
        <f>IFERROR(F27*G27*10^-6*'BDD FE'!$C$364*10^-3,0)</f>
        <v>0</v>
      </c>
      <c r="K27" s="123">
        <f>H27*10^-3*'BDD FE'!$C$368*10^-3</f>
        <v>0</v>
      </c>
      <c r="L27" s="123">
        <f t="shared" si="1"/>
        <v>0</v>
      </c>
      <c r="N27" s="613" t="s">
        <v>3459</v>
      </c>
      <c r="O27" s="614"/>
      <c r="P27" s="615"/>
    </row>
    <row r="28" spans="1:16">
      <c r="B28" s="145"/>
      <c r="C28" s="111"/>
      <c r="D28" s="111"/>
      <c r="E28" s="111"/>
      <c r="F28" s="111"/>
      <c r="G28" s="111"/>
      <c r="H28" s="111"/>
      <c r="I28" s="123">
        <f>SUM(I14:I27)</f>
        <v>0</v>
      </c>
      <c r="J28" s="123">
        <f>SUM(J14:J27)</f>
        <v>0</v>
      </c>
      <c r="K28" s="123">
        <f>SUM(K14:K27)</f>
        <v>0</v>
      </c>
      <c r="L28" s="123">
        <f>SUM(I28:K28)</f>
        <v>0</v>
      </c>
      <c r="N28" s="633"/>
      <c r="O28" s="634"/>
      <c r="P28" s="635"/>
    </row>
    <row r="29" spans="1:16" ht="40.25" customHeight="1">
      <c r="B29" s="145"/>
      <c r="C29" s="111"/>
      <c r="D29" s="111"/>
      <c r="E29" s="111"/>
      <c r="F29" s="111"/>
      <c r="G29" s="111"/>
      <c r="H29" s="111"/>
      <c r="I29" s="111"/>
      <c r="J29" s="111"/>
      <c r="K29" s="111"/>
      <c r="L29" s="111"/>
      <c r="N29" s="633"/>
      <c r="O29" s="634"/>
      <c r="P29" s="635"/>
    </row>
    <row r="30" spans="1:16">
      <c r="B30" s="145"/>
      <c r="C30" s="111"/>
      <c r="D30" s="111"/>
      <c r="E30" s="111"/>
      <c r="F30" s="111"/>
      <c r="G30" s="111"/>
      <c r="H30" s="111"/>
      <c r="I30" s="111"/>
      <c r="J30" s="111"/>
      <c r="K30" s="111"/>
      <c r="L30" s="160"/>
      <c r="M30" s="111"/>
      <c r="N30" s="633"/>
      <c r="O30" s="634"/>
      <c r="P30" s="635"/>
    </row>
    <row r="31" spans="1:16">
      <c r="B31" s="145"/>
      <c r="C31" s="627" t="s">
        <v>3688</v>
      </c>
      <c r="D31" s="628"/>
      <c r="E31" s="628"/>
      <c r="F31" s="628"/>
      <c r="G31" s="628"/>
      <c r="H31" s="628"/>
      <c r="I31" s="628"/>
      <c r="J31" s="628"/>
      <c r="K31" s="628"/>
      <c r="L31" s="160"/>
      <c r="M31" s="111"/>
      <c r="N31" s="633"/>
      <c r="O31" s="634"/>
      <c r="P31" s="635"/>
    </row>
    <row r="32" spans="1:16">
      <c r="B32" s="145"/>
      <c r="C32" s="111"/>
      <c r="D32" s="111"/>
      <c r="E32" s="111"/>
      <c r="F32" s="111"/>
      <c r="G32" s="192" t="s">
        <v>123</v>
      </c>
      <c r="H32" s="193"/>
      <c r="I32" s="111"/>
      <c r="J32" s="111"/>
      <c r="K32" s="111"/>
      <c r="L32" s="160"/>
      <c r="M32" s="111"/>
      <c r="N32" s="633"/>
      <c r="O32" s="634"/>
      <c r="P32" s="635"/>
    </row>
    <row r="33" spans="2:16" ht="25">
      <c r="B33" s="145"/>
      <c r="C33" s="117" t="s">
        <v>117</v>
      </c>
      <c r="D33" s="117" t="s">
        <v>129</v>
      </c>
      <c r="E33" s="117" t="s">
        <v>130</v>
      </c>
      <c r="F33" s="117" t="s">
        <v>122</v>
      </c>
      <c r="G33" s="122" t="s">
        <v>131</v>
      </c>
      <c r="H33" s="122" t="s">
        <v>132</v>
      </c>
      <c r="I33" s="117" t="s">
        <v>133</v>
      </c>
      <c r="J33" s="117" t="s">
        <v>89</v>
      </c>
      <c r="K33" s="117" t="s">
        <v>23</v>
      </c>
      <c r="L33" s="111"/>
      <c r="M33" s="111"/>
      <c r="N33" s="633"/>
      <c r="O33" s="634"/>
      <c r="P33" s="635"/>
    </row>
    <row r="34" spans="2:16">
      <c r="B34" s="145"/>
      <c r="C34" s="163"/>
      <c r="D34" s="163"/>
      <c r="E34" s="163"/>
      <c r="F34" s="163"/>
      <c r="G34" s="163"/>
      <c r="H34" s="163"/>
      <c r="I34" s="191">
        <f t="shared" ref="I34:I46" si="2">IFERROR(G34*H34*10^-6*F34*10^-3*E34*D34,0)</f>
        <v>0</v>
      </c>
      <c r="J34" s="118"/>
      <c r="K34" s="123">
        <f>IFERROR(IF(OR(J34="Vélo à assistance électrique",J34="Vélo"),C34*VLOOKUP(J34,'BDD FE'!$B$371:$E$383,2,0)*10^-3,C34*10^-3*I34*VLOOKUP(J34,'BDD FE'!$B$371:$E$383,2,0)*10^-3),0)</f>
        <v>0</v>
      </c>
      <c r="L34" s="111"/>
      <c r="M34" s="111"/>
      <c r="N34" s="633"/>
      <c r="O34" s="634"/>
      <c r="P34" s="635"/>
    </row>
    <row r="35" spans="2:16">
      <c r="B35" s="145"/>
      <c r="C35" s="163"/>
      <c r="D35" s="163"/>
      <c r="E35" s="163"/>
      <c r="F35" s="163"/>
      <c r="G35" s="163"/>
      <c r="H35" s="163"/>
      <c r="I35" s="191">
        <f t="shared" si="2"/>
        <v>0</v>
      </c>
      <c r="J35" s="118"/>
      <c r="K35" s="123">
        <f>IFERROR(IF(OR(J35="Vélo à assistance électrique",J35="Vélo"),C35*VLOOKUP(J35,'BDD FE'!$B$371:$E$383,2,0)*10^-3,C35*10^-3*I35*VLOOKUP(J35,'BDD FE'!$B$371:$E$383,2,0)*10^-3),0)</f>
        <v>0</v>
      </c>
      <c r="L35" s="111"/>
      <c r="M35" s="111"/>
      <c r="N35" s="633"/>
      <c r="O35" s="634"/>
      <c r="P35" s="635"/>
    </row>
    <row r="36" spans="2:16">
      <c r="B36" s="145"/>
      <c r="C36" s="163"/>
      <c r="D36" s="163"/>
      <c r="E36" s="163"/>
      <c r="F36" s="163"/>
      <c r="G36" s="163"/>
      <c r="H36" s="163"/>
      <c r="I36" s="191">
        <f t="shared" si="2"/>
        <v>0</v>
      </c>
      <c r="J36" s="118"/>
      <c r="K36" s="123">
        <f>IFERROR(IF(OR(J36="Vélo à assistance électrique",J36="Vélo"),C36*VLOOKUP(J36,'BDD FE'!$B$371:$E$383,2,0)*10^-3,C36*10^-3*I36*VLOOKUP(J36,'BDD FE'!$B$371:$E$383,2,0)*10^-3),0)</f>
        <v>0</v>
      </c>
      <c r="L36" s="111"/>
      <c r="M36" s="111"/>
      <c r="N36" s="633"/>
      <c r="O36" s="634"/>
      <c r="P36" s="635"/>
    </row>
    <row r="37" spans="2:16">
      <c r="B37" s="145"/>
      <c r="C37" s="163"/>
      <c r="D37" s="163"/>
      <c r="E37" s="163"/>
      <c r="F37" s="163"/>
      <c r="G37" s="163"/>
      <c r="H37" s="163"/>
      <c r="I37" s="191">
        <f t="shared" si="2"/>
        <v>0</v>
      </c>
      <c r="J37" s="118"/>
      <c r="K37" s="123">
        <f>IFERROR(IF(OR(J37="Vélo à assistance électrique",J37="Vélo"),C37*VLOOKUP(J37,'BDD FE'!$B$371:$E$383,2,0)*10^-3,C37*10^-3*I37*VLOOKUP(J37,'BDD FE'!$B$371:$E$383,2,0)*10^-3),0)</f>
        <v>0</v>
      </c>
      <c r="L37" s="111"/>
      <c r="M37" s="111"/>
      <c r="N37" s="633"/>
      <c r="O37" s="634"/>
      <c r="P37" s="635"/>
    </row>
    <row r="38" spans="2:16">
      <c r="B38" s="145"/>
      <c r="C38" s="163"/>
      <c r="D38" s="163"/>
      <c r="E38" s="163"/>
      <c r="F38" s="163"/>
      <c r="G38" s="163"/>
      <c r="H38" s="163"/>
      <c r="I38" s="191">
        <f t="shared" si="2"/>
        <v>0</v>
      </c>
      <c r="J38" s="118"/>
      <c r="K38" s="123">
        <f>IFERROR(IF(OR(J38="Vélo à assistance électrique",J38="Vélo"),C38*VLOOKUP(J38,'BDD FE'!$B$371:$E$383,2,0)*10^-3,C38*10^-3*I38*VLOOKUP(J38,'BDD FE'!$B$371:$E$383,2,0)*10^-3),0)</f>
        <v>0</v>
      </c>
      <c r="L38" s="111"/>
      <c r="M38" s="111"/>
      <c r="N38" s="633"/>
      <c r="O38" s="634"/>
      <c r="P38" s="635"/>
    </row>
    <row r="39" spans="2:16">
      <c r="B39" s="145"/>
      <c r="C39" s="163"/>
      <c r="D39" s="163"/>
      <c r="E39" s="163"/>
      <c r="F39" s="163"/>
      <c r="G39" s="163"/>
      <c r="H39" s="163"/>
      <c r="I39" s="191">
        <f t="shared" ref="I39:I41" si="3">IFERROR(G39*H39*10^-6*F39*10^-3*E39*D39,0)</f>
        <v>0</v>
      </c>
      <c r="J39" s="118"/>
      <c r="K39" s="123">
        <f>IFERROR(IF(OR(J39="Vélo à assistance électrique",J39="Vélo"),C39*VLOOKUP(J39,'BDD FE'!$B$371:$E$383,2,0)*10^-3,C39*10^-3*I39*VLOOKUP(J39,'BDD FE'!$B$371:$E$383,2,0)*10^-3),0)</f>
        <v>0</v>
      </c>
      <c r="L39" s="111"/>
      <c r="M39" s="111"/>
      <c r="N39" s="633"/>
      <c r="O39" s="634"/>
      <c r="P39" s="635"/>
    </row>
    <row r="40" spans="2:16">
      <c r="B40" s="145"/>
      <c r="C40" s="163"/>
      <c r="D40" s="163"/>
      <c r="E40" s="163"/>
      <c r="F40" s="163"/>
      <c r="G40" s="163"/>
      <c r="H40" s="163"/>
      <c r="I40" s="191">
        <f t="shared" si="3"/>
        <v>0</v>
      </c>
      <c r="J40" s="118"/>
      <c r="K40" s="123">
        <f>IFERROR(IF(OR(J40="Vélo à assistance électrique",J40="Vélo"),C40*VLOOKUP(J40,'BDD FE'!$B$371:$E$383,2,0)*10^-3,C40*10^-3*I40*VLOOKUP(J40,'BDD FE'!$B$371:$E$383,2,0)*10^-3),0)</f>
        <v>0</v>
      </c>
      <c r="L40" s="111"/>
      <c r="M40" s="111"/>
      <c r="N40" s="633"/>
      <c r="O40" s="634"/>
      <c r="P40" s="635"/>
    </row>
    <row r="41" spans="2:16">
      <c r="B41" s="145"/>
      <c r="C41" s="163"/>
      <c r="D41" s="163"/>
      <c r="E41" s="163"/>
      <c r="F41" s="163"/>
      <c r="G41" s="163"/>
      <c r="H41" s="163"/>
      <c r="I41" s="191">
        <f t="shared" si="3"/>
        <v>0</v>
      </c>
      <c r="J41" s="118"/>
      <c r="K41" s="123">
        <f>IFERROR(IF(OR(J41="Vélo à assistance électrique",J41="Vélo"),C41*VLOOKUP(J41,'BDD FE'!$B$371:$E$383,2,0)*10^-3,C41*10^-3*I41*VLOOKUP(J41,'BDD FE'!$B$371:$E$383,2,0)*10^-3),0)</f>
        <v>0</v>
      </c>
      <c r="L41" s="111"/>
      <c r="M41" s="111"/>
      <c r="N41" s="633"/>
      <c r="O41" s="634"/>
      <c r="P41" s="635"/>
    </row>
    <row r="42" spans="2:16">
      <c r="B42" s="145"/>
      <c r="C42" s="163"/>
      <c r="D42" s="163"/>
      <c r="E42" s="163"/>
      <c r="F42" s="163"/>
      <c r="G42" s="163"/>
      <c r="H42" s="163"/>
      <c r="I42" s="191">
        <f t="shared" si="2"/>
        <v>0</v>
      </c>
      <c r="J42" s="118"/>
      <c r="K42" s="123">
        <f>IFERROR(IF(OR(J42="Vélo à assistance électrique",J42="Vélo"),C42*VLOOKUP(J42,'BDD FE'!$B$371:$E$383,2,0)*10^-3,C42*10^-3*I42*VLOOKUP(J42,'BDD FE'!$B$371:$E$383,2,0)*10^-3),0)</f>
        <v>0</v>
      </c>
      <c r="L42" s="111"/>
      <c r="M42" s="111"/>
      <c r="N42" s="633"/>
      <c r="O42" s="634"/>
      <c r="P42" s="635"/>
    </row>
    <row r="43" spans="2:16">
      <c r="B43" s="145"/>
      <c r="C43" s="163"/>
      <c r="D43" s="163"/>
      <c r="E43" s="163"/>
      <c r="F43" s="163"/>
      <c r="G43" s="163"/>
      <c r="H43" s="163"/>
      <c r="I43" s="191">
        <f t="shared" si="2"/>
        <v>0</v>
      </c>
      <c r="J43" s="118"/>
      <c r="K43" s="123">
        <f>IFERROR(IF(OR(J43="Vélo à assistance électrique",J43="Vélo"),C43*VLOOKUP(J43,'BDD FE'!$B$371:$E$383,2,0)*10^-3,C43*10^-3*I43*VLOOKUP(J43,'BDD FE'!$B$371:$E$383,2,0)*10^-3),0)</f>
        <v>0</v>
      </c>
      <c r="L43" s="111"/>
      <c r="M43" s="111"/>
      <c r="N43" s="633"/>
      <c r="O43" s="634"/>
      <c r="P43" s="635"/>
    </row>
    <row r="44" spans="2:16">
      <c r="B44" s="145"/>
      <c r="C44" s="163"/>
      <c r="D44" s="163"/>
      <c r="E44" s="163"/>
      <c r="F44" s="163"/>
      <c r="G44" s="163"/>
      <c r="H44" s="163"/>
      <c r="I44" s="191">
        <f t="shared" si="2"/>
        <v>0</v>
      </c>
      <c r="J44" s="118"/>
      <c r="K44" s="123">
        <f>IFERROR(IF(OR(J44="Vélo à assistance électrique",J44="Vélo"),C44*VLOOKUP(J44,'BDD FE'!$B$371:$E$383,2,0)*10^-3,C44*10^-3*I44*VLOOKUP(J44,'BDD FE'!$B$371:$E$383,2,0)*10^-3),0)</f>
        <v>0</v>
      </c>
      <c r="L44" s="111"/>
      <c r="M44" s="111"/>
      <c r="N44" s="633"/>
      <c r="O44" s="634"/>
      <c r="P44" s="635"/>
    </row>
    <row r="45" spans="2:16">
      <c r="B45" s="145"/>
      <c r="C45" s="163"/>
      <c r="D45" s="163"/>
      <c r="E45" s="163"/>
      <c r="F45" s="163"/>
      <c r="G45" s="163"/>
      <c r="H45" s="163"/>
      <c r="I45" s="191">
        <f t="shared" si="2"/>
        <v>0</v>
      </c>
      <c r="J45" s="118"/>
      <c r="K45" s="123">
        <f>IFERROR(IF(OR(J45="Vélo à assistance électrique",J45="Vélo"),C45*VLOOKUP(J45,'BDD FE'!$B$371:$E$383,2,0)*10^-3,C45*10^-3*I45*VLOOKUP(J45,'BDD FE'!$B$371:$E$383,2,0)*10^-3),0)</f>
        <v>0</v>
      </c>
      <c r="L45" s="111"/>
      <c r="M45" s="413"/>
      <c r="N45" s="633"/>
      <c r="O45" s="634"/>
      <c r="P45" s="635"/>
    </row>
    <row r="46" spans="2:16">
      <c r="B46" s="145"/>
      <c r="C46" s="163"/>
      <c r="D46" s="163"/>
      <c r="E46" s="163"/>
      <c r="F46" s="163"/>
      <c r="G46" s="163"/>
      <c r="H46" s="163"/>
      <c r="I46" s="191">
        <f t="shared" si="2"/>
        <v>0</v>
      </c>
      <c r="J46" s="118"/>
      <c r="K46" s="123">
        <f>IFERROR(IF(OR(J46="Vélo à assistance électrique",J46="Vélo"),C46*VLOOKUP(J46,'BDD FE'!$B$371:$E$383,2,0)*10^-3,C46*10^-3*I46*VLOOKUP(J46,'BDD FE'!$B$371:$E$383,2,0)*10^-3),0)</f>
        <v>0</v>
      </c>
      <c r="L46" s="111"/>
      <c r="M46" s="413"/>
      <c r="N46" s="633"/>
      <c r="O46" s="634"/>
      <c r="P46" s="635"/>
    </row>
    <row r="47" spans="2:16">
      <c r="B47" s="145"/>
      <c r="C47" s="111"/>
      <c r="D47" s="111"/>
      <c r="E47" s="111"/>
      <c r="F47" s="111"/>
      <c r="G47" s="111"/>
      <c r="H47" s="111"/>
      <c r="I47" s="111"/>
      <c r="J47" s="111"/>
      <c r="K47" s="123">
        <f>SUM(K34:K46)</f>
        <v>0</v>
      </c>
      <c r="L47" s="111"/>
      <c r="M47" s="413"/>
      <c r="N47" s="633"/>
      <c r="O47" s="634"/>
      <c r="P47" s="635"/>
    </row>
    <row r="48" spans="2:16">
      <c r="B48" s="145"/>
      <c r="C48" s="111"/>
      <c r="D48" s="111"/>
      <c r="E48" s="111"/>
      <c r="F48" s="111"/>
      <c r="G48" s="111"/>
      <c r="H48" s="111"/>
      <c r="I48" s="111"/>
      <c r="J48" s="413"/>
      <c r="K48" s="414"/>
      <c r="L48" s="413"/>
      <c r="M48" s="413"/>
      <c r="N48" s="633"/>
      <c r="O48" s="634"/>
      <c r="P48" s="635"/>
    </row>
    <row r="49" spans="2:16">
      <c r="B49" s="145"/>
      <c r="C49" s="111"/>
      <c r="D49" s="111"/>
      <c r="E49" s="111"/>
      <c r="F49" s="111"/>
      <c r="G49" s="111"/>
      <c r="H49" s="111"/>
      <c r="I49" s="111"/>
      <c r="J49" s="413"/>
      <c r="K49" s="414"/>
      <c r="L49" s="413"/>
      <c r="M49" s="413"/>
      <c r="N49" s="633"/>
      <c r="O49" s="634"/>
      <c r="P49" s="635"/>
    </row>
    <row r="50" spans="2:16">
      <c r="B50" s="145"/>
      <c r="C50" s="111"/>
      <c r="D50" s="111"/>
      <c r="E50" s="111"/>
      <c r="F50" s="111"/>
      <c r="G50" s="111"/>
      <c r="H50" s="111"/>
      <c r="I50" s="111"/>
      <c r="J50" s="413"/>
      <c r="K50" s="414"/>
      <c r="L50" s="413"/>
      <c r="M50" s="413"/>
      <c r="N50" s="633"/>
      <c r="O50" s="634"/>
      <c r="P50" s="635"/>
    </row>
    <row r="51" spans="2:16">
      <c r="B51" s="145"/>
      <c r="C51" s="627" t="s">
        <v>3702</v>
      </c>
      <c r="D51" s="628"/>
      <c r="E51" s="628"/>
      <c r="F51" s="628"/>
      <c r="G51" s="628"/>
      <c r="H51" s="628"/>
      <c r="I51" s="628"/>
      <c r="J51" s="628"/>
      <c r="K51" s="628"/>
      <c r="L51" s="628"/>
      <c r="M51" s="413"/>
      <c r="N51" s="633"/>
      <c r="O51" s="634"/>
      <c r="P51" s="635"/>
    </row>
    <row r="52" spans="2:16">
      <c r="B52" s="145"/>
      <c r="C52" s="111"/>
      <c r="D52" s="111"/>
      <c r="E52" s="111"/>
      <c r="F52" s="111"/>
      <c r="G52" s="111"/>
      <c r="H52" s="111"/>
      <c r="I52" s="111"/>
      <c r="J52" s="111"/>
      <c r="K52" s="111"/>
      <c r="L52" s="111"/>
      <c r="M52" s="413"/>
      <c r="N52" s="633"/>
      <c r="O52" s="634"/>
      <c r="P52" s="635"/>
    </row>
    <row r="53" spans="2:16" ht="37.5">
      <c r="B53" s="145"/>
      <c r="C53" s="397" t="s">
        <v>3689</v>
      </c>
      <c r="D53" s="397" t="s">
        <v>3690</v>
      </c>
      <c r="E53" s="397" t="s">
        <v>3701</v>
      </c>
      <c r="F53" s="193" t="s">
        <v>124</v>
      </c>
      <c r="G53" s="117" t="s">
        <v>80</v>
      </c>
      <c r="M53" s="413"/>
      <c r="N53" s="633"/>
      <c r="O53" s="634"/>
      <c r="P53" s="635"/>
    </row>
    <row r="54" spans="2:16">
      <c r="B54" s="145"/>
      <c r="C54" s="163"/>
      <c r="D54" s="118"/>
      <c r="E54" s="163"/>
      <c r="F54" s="191">
        <f>IFERROR(C54*E54,0)</f>
        <v>0</v>
      </c>
      <c r="G54" s="123">
        <f>IFERROR(F54*VLOOKUP(D54,'BDD FE'!$B$685:$C$690,2,FALSE)*10^-3,0)</f>
        <v>0</v>
      </c>
      <c r="M54" s="413"/>
      <c r="N54" s="633"/>
      <c r="O54" s="634"/>
      <c r="P54" s="635"/>
    </row>
    <row r="55" spans="2:16">
      <c r="B55" s="145"/>
      <c r="C55" s="163"/>
      <c r="D55" s="118"/>
      <c r="E55" s="163"/>
      <c r="F55" s="191">
        <f t="shared" ref="F55:F67" si="4">IFERROR(C55*E55,0)</f>
        <v>0</v>
      </c>
      <c r="G55" s="123">
        <f>IFERROR(F55*VLOOKUP(D55,'BDD FE'!$B$685:$C$690,2,FALSE)*10^-3,0)</f>
        <v>0</v>
      </c>
      <c r="M55" s="413"/>
      <c r="N55" s="633"/>
      <c r="O55" s="634"/>
      <c r="P55" s="635"/>
    </row>
    <row r="56" spans="2:16">
      <c r="B56" s="145"/>
      <c r="C56" s="163"/>
      <c r="D56" s="118"/>
      <c r="E56" s="163"/>
      <c r="F56" s="191">
        <f t="shared" si="4"/>
        <v>0</v>
      </c>
      <c r="G56" s="123">
        <f>IFERROR(F56*VLOOKUP(D56,'BDD FE'!$B$685:$C$690,2,FALSE)*10^-3,0)</f>
        <v>0</v>
      </c>
      <c r="M56" s="413"/>
      <c r="N56" s="633"/>
      <c r="O56" s="634"/>
      <c r="P56" s="635"/>
    </row>
    <row r="57" spans="2:16">
      <c r="B57" s="145"/>
      <c r="C57" s="163"/>
      <c r="D57" s="118"/>
      <c r="E57" s="163"/>
      <c r="F57" s="191">
        <f t="shared" si="4"/>
        <v>0</v>
      </c>
      <c r="G57" s="123">
        <f>IFERROR(F57*VLOOKUP(D57,'BDD FE'!$B$685:$C$690,2,FALSE)*10^-3,0)</f>
        <v>0</v>
      </c>
      <c r="M57" s="413"/>
      <c r="N57" s="633"/>
      <c r="O57" s="634"/>
      <c r="P57" s="635"/>
    </row>
    <row r="58" spans="2:16">
      <c r="B58" s="145"/>
      <c r="C58" s="163"/>
      <c r="D58" s="118"/>
      <c r="E58" s="163"/>
      <c r="F58" s="191">
        <f t="shared" si="4"/>
        <v>0</v>
      </c>
      <c r="G58" s="123">
        <f>IFERROR(F58*VLOOKUP(D58,'BDD FE'!$B$685:$C$690,2,FALSE)*10^-3,0)</f>
        <v>0</v>
      </c>
      <c r="M58" s="413"/>
      <c r="N58" s="633"/>
      <c r="O58" s="634"/>
      <c r="P58" s="635"/>
    </row>
    <row r="59" spans="2:16">
      <c r="B59" s="145"/>
      <c r="C59" s="163"/>
      <c r="D59" s="118"/>
      <c r="E59" s="163"/>
      <c r="F59" s="191">
        <f t="shared" si="4"/>
        <v>0</v>
      </c>
      <c r="G59" s="123">
        <f>IFERROR(F59*VLOOKUP(D59,'BDD FE'!$B$685:$C$690,2,FALSE)*10^-3,0)</f>
        <v>0</v>
      </c>
      <c r="M59" s="413"/>
      <c r="N59" s="633"/>
      <c r="O59" s="634"/>
      <c r="P59" s="635"/>
    </row>
    <row r="60" spans="2:16">
      <c r="B60" s="145"/>
      <c r="C60" s="163"/>
      <c r="D60" s="118"/>
      <c r="E60" s="163"/>
      <c r="F60" s="191">
        <f t="shared" si="4"/>
        <v>0</v>
      </c>
      <c r="G60" s="123">
        <f>IFERROR(F60*VLOOKUP(D60,'BDD FE'!$B$685:$C$690,2,FALSE)*10^-3,0)</f>
        <v>0</v>
      </c>
      <c r="M60" s="413"/>
      <c r="N60" s="633"/>
      <c r="O60" s="634"/>
      <c r="P60" s="635"/>
    </row>
    <row r="61" spans="2:16">
      <c r="B61" s="145"/>
      <c r="C61" s="163"/>
      <c r="D61" s="118"/>
      <c r="E61" s="163"/>
      <c r="F61" s="191">
        <f t="shared" si="4"/>
        <v>0</v>
      </c>
      <c r="G61" s="123">
        <f>IFERROR(F61*VLOOKUP(D61,'BDD FE'!$B$685:$C$690,2,FALSE)*10^-3,0)</f>
        <v>0</v>
      </c>
      <c r="M61" s="413"/>
      <c r="N61" s="633"/>
      <c r="O61" s="634"/>
      <c r="P61" s="635"/>
    </row>
    <row r="62" spans="2:16">
      <c r="B62" s="145"/>
      <c r="C62" s="163"/>
      <c r="D62" s="118"/>
      <c r="E62" s="163"/>
      <c r="F62" s="191">
        <f t="shared" si="4"/>
        <v>0</v>
      </c>
      <c r="G62" s="123">
        <f>IFERROR(F62*VLOOKUP(D62,'BDD FE'!$B$685:$C$690,2,FALSE)*10^-3,0)</f>
        <v>0</v>
      </c>
      <c r="M62" s="413"/>
      <c r="N62" s="633"/>
      <c r="O62" s="634"/>
      <c r="P62" s="635"/>
    </row>
    <row r="63" spans="2:16">
      <c r="B63" s="145"/>
      <c r="C63" s="163"/>
      <c r="D63" s="118"/>
      <c r="E63" s="163"/>
      <c r="F63" s="191">
        <f t="shared" si="4"/>
        <v>0</v>
      </c>
      <c r="G63" s="123">
        <f>IFERROR(F63*VLOOKUP(D63,'BDD FE'!$B$685:$C$690,2,FALSE)*10^-3,0)</f>
        <v>0</v>
      </c>
      <c r="M63" s="413"/>
      <c r="N63" s="633"/>
      <c r="O63" s="634"/>
      <c r="P63" s="635"/>
    </row>
    <row r="64" spans="2:16">
      <c r="B64" s="145"/>
      <c r="C64" s="163"/>
      <c r="D64" s="118"/>
      <c r="E64" s="163"/>
      <c r="F64" s="191">
        <f t="shared" si="4"/>
        <v>0</v>
      </c>
      <c r="G64" s="123">
        <f>IFERROR(F64*VLOOKUP(D64,'BDD FE'!$B$685:$C$690,2,FALSE)*10^-3,0)</f>
        <v>0</v>
      </c>
      <c r="M64" s="413"/>
      <c r="N64" s="633"/>
      <c r="O64" s="634"/>
      <c r="P64" s="635"/>
    </row>
    <row r="65" spans="2:16">
      <c r="B65" s="145"/>
      <c r="C65" s="163"/>
      <c r="D65" s="118"/>
      <c r="E65" s="163"/>
      <c r="F65" s="191">
        <f t="shared" si="4"/>
        <v>0</v>
      </c>
      <c r="G65" s="123">
        <f>IFERROR(F65*VLOOKUP(D65,'BDD FE'!$B$685:$C$690,2,FALSE)*10^-3,0)</f>
        <v>0</v>
      </c>
      <c r="M65" s="413"/>
      <c r="N65" s="633"/>
      <c r="O65" s="634"/>
      <c r="P65" s="635"/>
    </row>
    <row r="66" spans="2:16">
      <c r="B66" s="145"/>
      <c r="C66" s="163"/>
      <c r="D66" s="118"/>
      <c r="E66" s="163"/>
      <c r="F66" s="191">
        <f t="shared" si="4"/>
        <v>0</v>
      </c>
      <c r="G66" s="123">
        <f>IFERROR(F66*VLOOKUP(D66,'BDD FE'!$B$685:$C$690,2,FALSE)*10^-3,0)</f>
        <v>0</v>
      </c>
      <c r="M66" s="413"/>
      <c r="N66" s="633"/>
      <c r="O66" s="634"/>
      <c r="P66" s="635"/>
    </row>
    <row r="67" spans="2:16">
      <c r="B67" s="145"/>
      <c r="C67" s="163"/>
      <c r="D67" s="118"/>
      <c r="E67" s="163"/>
      <c r="F67" s="191">
        <f t="shared" si="4"/>
        <v>0</v>
      </c>
      <c r="G67" s="123">
        <f>IFERROR(F67*VLOOKUP(D67,'BDD FE'!$B$685:$C$690,2,FALSE)*10^-3,0)</f>
        <v>0</v>
      </c>
      <c r="M67" s="413"/>
      <c r="N67" s="633"/>
      <c r="O67" s="634"/>
      <c r="P67" s="635"/>
    </row>
    <row r="68" spans="2:16">
      <c r="B68" s="145"/>
      <c r="C68" s="111"/>
      <c r="D68" s="111"/>
      <c r="E68" s="111"/>
      <c r="F68" s="111"/>
      <c r="G68" s="123">
        <f>SUM(G54:G67)</f>
        <v>0</v>
      </c>
      <c r="M68" s="413"/>
      <c r="N68" s="633"/>
      <c r="O68" s="634"/>
      <c r="P68" s="635"/>
    </row>
    <row r="69" spans="2:16">
      <c r="B69" s="145"/>
      <c r="C69" s="111"/>
      <c r="D69" s="111"/>
      <c r="E69" s="111"/>
      <c r="F69" s="111"/>
      <c r="G69" s="111"/>
      <c r="H69" s="111"/>
      <c r="I69" s="111"/>
      <c r="J69" s="413"/>
      <c r="K69" s="414"/>
      <c r="L69" s="413"/>
      <c r="M69" s="413"/>
      <c r="N69" s="633"/>
      <c r="O69" s="634"/>
      <c r="P69" s="635"/>
    </row>
    <row r="70" spans="2:16">
      <c r="B70" s="145"/>
      <c r="C70" s="111"/>
      <c r="D70" s="111"/>
      <c r="E70" s="111"/>
      <c r="F70" s="111"/>
      <c r="G70" s="111"/>
      <c r="H70" s="111"/>
      <c r="I70" s="111"/>
      <c r="J70" s="413"/>
      <c r="K70" s="414"/>
      <c r="L70" s="413"/>
      <c r="M70" s="413"/>
      <c r="N70" s="633"/>
      <c r="O70" s="634"/>
      <c r="P70" s="635"/>
    </row>
    <row r="71" spans="2:16">
      <c r="B71" s="145"/>
      <c r="C71" s="111"/>
      <c r="D71" s="111"/>
      <c r="E71" s="111"/>
      <c r="F71" s="111"/>
      <c r="G71" s="111"/>
      <c r="H71" s="111"/>
      <c r="I71" s="111"/>
      <c r="J71" s="413"/>
      <c r="K71" s="414"/>
      <c r="L71" s="413"/>
      <c r="M71" s="413"/>
      <c r="N71" s="633"/>
      <c r="O71" s="634"/>
      <c r="P71" s="635"/>
    </row>
    <row r="72" spans="2:16">
      <c r="B72" s="145"/>
      <c r="C72" s="111"/>
      <c r="D72" s="111"/>
      <c r="E72" s="111"/>
      <c r="F72" s="111"/>
      <c r="G72" s="111"/>
      <c r="H72" s="111"/>
      <c r="I72" s="111"/>
      <c r="J72" s="413"/>
      <c r="K72" s="414"/>
      <c r="L72" s="413"/>
      <c r="M72" s="413"/>
      <c r="N72" s="633"/>
      <c r="O72" s="634"/>
      <c r="P72" s="635"/>
    </row>
    <row r="73" spans="2:16">
      <c r="B73" s="145"/>
      <c r="C73" s="723" t="s">
        <v>4049</v>
      </c>
      <c r="D73" s="724"/>
      <c r="E73" s="724"/>
      <c r="F73" s="724"/>
      <c r="G73" s="724"/>
      <c r="H73" s="724"/>
      <c r="I73" s="724"/>
      <c r="J73" s="724"/>
      <c r="K73" s="724"/>
      <c r="L73" s="724"/>
      <c r="M73" s="160"/>
      <c r="N73" s="633"/>
      <c r="O73" s="634"/>
      <c r="P73" s="635"/>
    </row>
    <row r="74" spans="2:16">
      <c r="B74" s="145"/>
      <c r="C74" s="111"/>
      <c r="D74" s="111"/>
      <c r="E74" s="111"/>
      <c r="F74" s="111"/>
      <c r="G74" s="111"/>
      <c r="H74" s="111"/>
      <c r="I74" s="111"/>
      <c r="J74" s="413"/>
      <c r="K74" s="414"/>
      <c r="L74" s="413"/>
      <c r="M74" s="160"/>
      <c r="N74" s="633"/>
      <c r="O74" s="634"/>
      <c r="P74" s="635"/>
    </row>
    <row r="75" spans="2:16">
      <c r="B75" s="145"/>
      <c r="C75" s="111"/>
      <c r="D75" s="111"/>
      <c r="E75" s="111"/>
      <c r="F75" s="111"/>
      <c r="G75" s="111"/>
      <c r="H75" s="111"/>
      <c r="I75" s="111"/>
      <c r="J75" s="413"/>
      <c r="K75" s="414"/>
      <c r="L75" s="413"/>
      <c r="M75" s="160"/>
      <c r="N75" s="633"/>
      <c r="O75" s="634"/>
      <c r="P75" s="635"/>
    </row>
    <row r="76" spans="2:16">
      <c r="B76" s="145"/>
      <c r="C76" s="627" t="s">
        <v>161</v>
      </c>
      <c r="D76" s="628"/>
      <c r="E76" s="628"/>
      <c r="F76" s="628"/>
      <c r="G76" s="628"/>
      <c r="H76" s="628"/>
      <c r="I76" s="628"/>
      <c r="J76" s="111"/>
      <c r="K76" s="111"/>
      <c r="L76" s="160"/>
      <c r="M76" s="160"/>
      <c r="N76" s="633"/>
      <c r="O76" s="634"/>
      <c r="P76" s="635"/>
    </row>
    <row r="77" spans="2:16" ht="50">
      <c r="B77" s="145"/>
      <c r="C77" s="117" t="s">
        <v>162</v>
      </c>
      <c r="D77" s="117" t="s">
        <v>163</v>
      </c>
      <c r="E77" s="117" t="s">
        <v>144</v>
      </c>
      <c r="F77" s="117" t="s">
        <v>145</v>
      </c>
      <c r="G77" s="117" t="s">
        <v>146</v>
      </c>
      <c r="H77" s="117" t="s">
        <v>147</v>
      </c>
      <c r="I77" s="117" t="s">
        <v>80</v>
      </c>
      <c r="J77" s="111"/>
      <c r="K77" s="111"/>
      <c r="L77" s="160"/>
      <c r="M77" s="160"/>
      <c r="N77" s="633"/>
      <c r="O77" s="634"/>
      <c r="P77" s="635"/>
    </row>
    <row r="78" spans="2:16">
      <c r="B78" s="145"/>
      <c r="C78" s="163"/>
      <c r="D78" s="163"/>
      <c r="E78" s="228">
        <f>D78*'BDD FE'!$C$425*10^-3</f>
        <v>0</v>
      </c>
      <c r="F78" s="123">
        <f>C78*'BDD FE'!$C$427*'BDD FE'!$C$7*10^-3*3</f>
        <v>0</v>
      </c>
      <c r="G78" s="123">
        <f>E78*'BDD FE'!$C$428*'BDD FE'!$C$7*10^-3</f>
        <v>0</v>
      </c>
      <c r="H78" s="123">
        <f>E78*'BDD FE'!$C$7*10^-3*'BDD FE'!$C$429</f>
        <v>0</v>
      </c>
      <c r="I78" s="123">
        <f t="shared" ref="I78:I83" si="5">SUM(F78:H78)</f>
        <v>0</v>
      </c>
      <c r="J78" s="111"/>
      <c r="K78" s="111"/>
      <c r="L78" s="160"/>
      <c r="M78" s="160"/>
      <c r="N78" s="633"/>
      <c r="O78" s="634"/>
      <c r="P78" s="635"/>
    </row>
    <row r="79" spans="2:16">
      <c r="B79" s="145"/>
      <c r="C79" s="163"/>
      <c r="D79" s="163"/>
      <c r="E79" s="228">
        <f>D79*'BDD FE'!$C$425*10^-3</f>
        <v>0</v>
      </c>
      <c r="F79" s="123">
        <f>C79*'BDD FE'!$C$427*'BDD FE'!$C$7*10^-3*3</f>
        <v>0</v>
      </c>
      <c r="G79" s="123">
        <f>E79*'BDD FE'!$C$428*'BDD FE'!$C$7*10^-3</f>
        <v>0</v>
      </c>
      <c r="H79" s="123">
        <f>E79*'BDD FE'!$C$7*10^-3*'BDD FE'!$C$429</f>
        <v>0</v>
      </c>
      <c r="I79" s="123">
        <f t="shared" si="5"/>
        <v>0</v>
      </c>
      <c r="J79" s="111"/>
      <c r="K79" s="111"/>
      <c r="L79" s="160"/>
      <c r="M79" s="160"/>
      <c r="N79" s="633"/>
      <c r="O79" s="634"/>
      <c r="P79" s="635"/>
    </row>
    <row r="80" spans="2:16">
      <c r="B80" s="145"/>
      <c r="C80" s="163"/>
      <c r="D80" s="163"/>
      <c r="E80" s="228">
        <f>D80*'BDD FE'!$C$425*10^-3</f>
        <v>0</v>
      </c>
      <c r="F80" s="123">
        <f>C80*'BDD FE'!$C$427*'BDD FE'!$C$7*10^-3*3</f>
        <v>0</v>
      </c>
      <c r="G80" s="123">
        <f>E80*'BDD FE'!$C$428*'BDD FE'!$C$7*10^-3</f>
        <v>0</v>
      </c>
      <c r="H80" s="123">
        <f>E80*'BDD FE'!$C$7*10^-3*'BDD FE'!$C$429</f>
        <v>0</v>
      </c>
      <c r="I80" s="123">
        <f t="shared" si="5"/>
        <v>0</v>
      </c>
      <c r="J80" s="111"/>
      <c r="K80" s="111"/>
      <c r="L80" s="160"/>
      <c r="M80" s="160"/>
      <c r="N80" s="633"/>
      <c r="O80" s="634"/>
      <c r="P80" s="635"/>
    </row>
    <row r="81" spans="2:16">
      <c r="B81" s="145"/>
      <c r="C81" s="163"/>
      <c r="D81" s="163"/>
      <c r="E81" s="228">
        <f>D81*'BDD FE'!$C$425*10^-3</f>
        <v>0</v>
      </c>
      <c r="F81" s="123">
        <f>C81*'BDD FE'!$C$427*'BDD FE'!$C$7*10^-3*3</f>
        <v>0</v>
      </c>
      <c r="G81" s="123">
        <f>E81*'BDD FE'!$C$428*'BDD FE'!$C$7*10^-3</f>
        <v>0</v>
      </c>
      <c r="H81" s="123">
        <f>E81*'BDD FE'!$C$7*10^-3*'BDD FE'!$C$429</f>
        <v>0</v>
      </c>
      <c r="I81" s="123">
        <f t="shared" si="5"/>
        <v>0</v>
      </c>
      <c r="J81" s="111"/>
      <c r="K81" s="111"/>
      <c r="L81" s="160"/>
      <c r="M81" s="160"/>
      <c r="N81" s="633"/>
      <c r="O81" s="634"/>
      <c r="P81" s="635"/>
    </row>
    <row r="82" spans="2:16">
      <c r="B82" s="145"/>
      <c r="C82" s="163"/>
      <c r="D82" s="163"/>
      <c r="E82" s="228">
        <f>D82*'BDD FE'!$C$425*10^-3</f>
        <v>0</v>
      </c>
      <c r="F82" s="123">
        <f>C82*'BDD FE'!$C$427*'BDD FE'!$C$7*10^-3*3</f>
        <v>0</v>
      </c>
      <c r="G82" s="123">
        <f>E82*'BDD FE'!$C$428*'BDD FE'!$C$7*10^-3</f>
        <v>0</v>
      </c>
      <c r="H82" s="123">
        <f>E82*'BDD FE'!$C$7*10^-3*'BDD FE'!$C$429</f>
        <v>0</v>
      </c>
      <c r="I82" s="123">
        <f t="shared" si="5"/>
        <v>0</v>
      </c>
      <c r="J82" s="111"/>
      <c r="K82" s="111"/>
      <c r="L82" s="160"/>
      <c r="M82" s="413"/>
      <c r="N82" s="633"/>
      <c r="O82" s="634"/>
      <c r="P82" s="635"/>
    </row>
    <row r="83" spans="2:16">
      <c r="B83" s="145"/>
      <c r="C83" s="163"/>
      <c r="D83" s="163"/>
      <c r="E83" s="228">
        <f>D83*'BDD FE'!$C$425*10^-3</f>
        <v>0</v>
      </c>
      <c r="F83" s="123">
        <f>C83*'BDD FE'!$C$427*'BDD FE'!$C$7*10^-3*3</f>
        <v>0</v>
      </c>
      <c r="G83" s="123">
        <f>E83*'BDD FE'!$C$428*'BDD FE'!$C$7*10^-3</f>
        <v>0</v>
      </c>
      <c r="H83" s="123">
        <f>E83*'BDD FE'!$C$7*10^-3*'BDD FE'!$C$429</f>
        <v>0</v>
      </c>
      <c r="I83" s="123">
        <f t="shared" si="5"/>
        <v>0</v>
      </c>
      <c r="J83" s="111"/>
      <c r="K83" s="111"/>
      <c r="L83" s="160"/>
      <c r="M83" s="413"/>
      <c r="N83" s="633"/>
      <c r="O83" s="634"/>
      <c r="P83" s="635"/>
    </row>
    <row r="84" spans="2:16">
      <c r="B84" s="145"/>
      <c r="C84" s="111"/>
      <c r="D84" s="111"/>
      <c r="E84" s="111"/>
      <c r="F84" s="123">
        <f>SUM(F78:F83)</f>
        <v>0</v>
      </c>
      <c r="G84" s="123">
        <f>SUM(G78:G83)</f>
        <v>0</v>
      </c>
      <c r="H84" s="123">
        <f>SUM(H78:H83)</f>
        <v>0</v>
      </c>
      <c r="I84" s="123">
        <f>SUM(F84:H84)</f>
        <v>0</v>
      </c>
      <c r="J84" s="111"/>
      <c r="K84" s="111"/>
      <c r="L84" s="160"/>
      <c r="M84" s="413"/>
      <c r="N84" s="633"/>
      <c r="O84" s="634"/>
      <c r="P84" s="635"/>
    </row>
    <row r="85" spans="2:16">
      <c r="B85" s="145"/>
      <c r="C85" s="111"/>
      <c r="D85" s="111"/>
      <c r="E85" s="111"/>
      <c r="F85" s="111"/>
      <c r="G85" s="111"/>
      <c r="H85" s="111"/>
      <c r="I85" s="111"/>
      <c r="J85" s="413"/>
      <c r="K85" s="414"/>
      <c r="L85" s="413"/>
      <c r="M85" s="413"/>
      <c r="N85" s="145"/>
      <c r="P85" s="149"/>
    </row>
    <row r="86" spans="2:16">
      <c r="B86" s="145"/>
      <c r="C86" s="111"/>
      <c r="D86" s="111"/>
      <c r="E86" s="111"/>
      <c r="F86" s="111"/>
      <c r="G86" s="111"/>
      <c r="H86" s="111"/>
      <c r="I86" s="111"/>
      <c r="J86" s="413"/>
      <c r="K86" s="414"/>
      <c r="L86" s="413"/>
      <c r="M86" s="413"/>
      <c r="N86" s="145"/>
      <c r="P86" s="149"/>
    </row>
    <row r="87" spans="2:16">
      <c r="B87" s="145"/>
      <c r="C87" s="111"/>
      <c r="D87" s="111"/>
      <c r="E87" s="111"/>
      <c r="F87" s="111"/>
      <c r="G87" s="111"/>
      <c r="H87" s="111"/>
      <c r="I87" s="111"/>
      <c r="J87" s="413"/>
      <c r="K87" s="414"/>
      <c r="L87" s="413"/>
      <c r="M87" s="413"/>
      <c r="N87" s="145"/>
      <c r="P87" s="149"/>
    </row>
    <row r="88" spans="2:16">
      <c r="B88" s="145"/>
      <c r="C88" s="111"/>
      <c r="D88" s="111"/>
      <c r="E88" s="111"/>
      <c r="F88" s="111"/>
      <c r="G88" s="111"/>
      <c r="H88" s="111"/>
      <c r="I88" s="111"/>
      <c r="J88" s="413"/>
      <c r="K88" s="414"/>
      <c r="L88" s="413"/>
      <c r="M88" s="413"/>
      <c r="N88" s="145"/>
      <c r="P88" s="149"/>
    </row>
    <row r="89" spans="2:16">
      <c r="B89" s="145"/>
      <c r="C89" s="111"/>
      <c r="D89" s="111"/>
      <c r="E89" s="111"/>
      <c r="F89" s="111"/>
      <c r="G89" s="111"/>
      <c r="H89" s="111"/>
      <c r="I89" s="111"/>
      <c r="J89" s="413"/>
      <c r="K89" s="414"/>
      <c r="L89" s="413"/>
      <c r="M89" s="413"/>
      <c r="N89" s="145"/>
      <c r="P89" s="149"/>
    </row>
    <row r="90" spans="2:16">
      <c r="B90" s="145"/>
      <c r="C90" s="111"/>
      <c r="D90" s="111"/>
      <c r="E90" s="111"/>
      <c r="F90" s="111"/>
      <c r="G90" s="111"/>
      <c r="H90" s="111"/>
      <c r="I90" s="111"/>
      <c r="J90" s="413"/>
      <c r="K90" s="414"/>
      <c r="L90" s="413"/>
      <c r="M90" s="111"/>
      <c r="N90" s="145"/>
      <c r="P90" s="149"/>
    </row>
    <row r="91" spans="2:16">
      <c r="B91" s="145"/>
      <c r="C91" s="111"/>
      <c r="D91" s="111"/>
      <c r="E91" s="111"/>
      <c r="F91" s="111"/>
      <c r="G91" s="111"/>
      <c r="H91" s="111"/>
      <c r="I91" s="111"/>
      <c r="J91" s="413"/>
      <c r="K91" s="414"/>
      <c r="L91" s="413"/>
      <c r="N91" s="145"/>
      <c r="P91" s="149"/>
    </row>
    <row r="92" spans="2:16" ht="15" thickBot="1">
      <c r="B92" s="145"/>
      <c r="C92" s="111"/>
      <c r="D92" s="111"/>
      <c r="E92" s="111"/>
      <c r="F92" s="111"/>
      <c r="G92" s="111"/>
      <c r="H92" s="111"/>
      <c r="I92" s="111"/>
      <c r="J92" s="413"/>
      <c r="K92" s="414"/>
      <c r="L92" s="413"/>
      <c r="N92" s="150"/>
      <c r="O92" s="151"/>
      <c r="P92" s="152"/>
    </row>
    <row r="93" spans="2:16" ht="15" thickBot="1">
      <c r="B93" s="150"/>
      <c r="C93" s="151"/>
      <c r="D93" s="151"/>
      <c r="E93" s="151"/>
      <c r="F93" s="151"/>
      <c r="G93" s="151"/>
      <c r="H93" s="151"/>
      <c r="I93" s="151"/>
      <c r="J93" s="151"/>
      <c r="K93" s="151"/>
      <c r="L93" s="151"/>
      <c r="M93" s="152"/>
    </row>
  </sheetData>
  <protectedRanges>
    <protectedRange sqref="C78:D83 C34:H46 C14:G27 J34:J46 C54:E67" name="Plage1"/>
    <protectedRange sqref="N3 N8:N11 N28:N29" name="Plage1_1"/>
  </protectedRanges>
  <mergeCells count="16">
    <mergeCell ref="A1:A2"/>
    <mergeCell ref="C5:L7"/>
    <mergeCell ref="N1:P1"/>
    <mergeCell ref="B1:M1"/>
    <mergeCell ref="C76:I76"/>
    <mergeCell ref="C31:K31"/>
    <mergeCell ref="F12:G12"/>
    <mergeCell ref="C11:L11"/>
    <mergeCell ref="N2:P2"/>
    <mergeCell ref="N3:P6"/>
    <mergeCell ref="N8:P26"/>
    <mergeCell ref="N27:P27"/>
    <mergeCell ref="N28:P84"/>
    <mergeCell ref="C9:L9"/>
    <mergeCell ref="C73:L73"/>
    <mergeCell ref="C51:L51"/>
  </mergeCells>
  <dataValidations count="1">
    <dataValidation type="list" allowBlank="1" showInputMessage="1" showErrorMessage="1" sqref="C14:C27" xr:uid="{00000000-0002-0000-0E00-000000000000}">
      <formula1>"Sur site,A domicile"</formula1>
    </dataValidation>
  </dataValidations>
  <hyperlinks>
    <hyperlink ref="A6" location="'1_Votre Structure'!A1" display="Votre structure" xr:uid="{6E668825-3983-4E99-AAF9-1F39672053D2}"/>
    <hyperlink ref="A7" location="'2_ConsoEnergieEau'!A1" display="Consommation d'énergie et d'eau" xr:uid="{D4A5E6AD-A043-49FA-8DA0-A6C8AB9A2EEF}"/>
    <hyperlink ref="A8" location="'3_Climatisation'!A1" display="Climatisation" xr:uid="{75F115A2-4A50-4881-9CCA-7DA35D59EB4B}"/>
    <hyperlink ref="A12" location="'7_DéplacementsProfessionnels'!A1" display="Déplacements professionnels" xr:uid="{BC1CF80D-E2DE-49B7-ACC5-268D837F596A}"/>
    <hyperlink ref="A13" location="'8_DéplacementsSalariés'!A1" display="Déplacements des salariés" xr:uid="{4925DA01-FDAF-46AE-8F3A-833BEBBCE6FD}"/>
    <hyperlink ref="A17" location="'12_Equipements'!A1" display="Equipements" xr:uid="{9B7D2F3A-BBF9-4C55-96B9-9889933BBC98}"/>
    <hyperlink ref="A10" location="'5_Déchets'!A1" display="Déchets" xr:uid="{304456AE-3CA4-4566-A6E1-EA3074B9F3AB}"/>
    <hyperlink ref="A22" location="'17_TransportMatériel'!A1" display="Transport de matériel et d'œuvres" xr:uid="{02E6111D-A944-4492-B41B-7EA0D2298A89}"/>
    <hyperlink ref="A23" location="'18_ImpressionsComPapier'!A1" display="Impression et communication papier" xr:uid="{E829525C-56CF-4C76-82ED-30B79658BEB3}"/>
    <hyperlink ref="A24" location="'19_ComDigitale'!A1" display="Communication digitale" xr:uid="{5421D75B-6BF2-4B99-9680-1FF56A4E0EA3}"/>
    <hyperlink ref="A25" location="'20_Billetterie'!A1" display="Billetterie" xr:uid="{2B78DF31-3CDE-428F-AD2D-200506983D97}"/>
    <hyperlink ref="A20" location="'15_Alimentation'!A1" display="Alimentation" xr:uid="{ECDB0FE1-172B-46F4-A925-77175FA55E72}"/>
    <hyperlink ref="A14" location="'9_DéplacementsVisiteurs'!A1" display="Déplacements des visiteurs" xr:uid="{ECF91051-DB6C-406B-9862-015958F04A46}"/>
    <hyperlink ref="A15" location="'10_Tournées artistiques'!A1" display="Tournées artistiques" xr:uid="{593A48A6-C71B-4858-AC98-6EF7E51E8E09}"/>
    <hyperlink ref="A16" location="'11_Artistes invité.e.s'!A1" display="Artistes invité.e.s" xr:uid="{1F4D2134-E5E1-43D0-8ABB-981467ADC749}"/>
    <hyperlink ref="A9" location="'4_Bâtiments,travaux, agcmt'!A1" display="Bâtiments, travaux et agencements" xr:uid="{51891F4B-3FC2-489D-9DE1-2875DE81AE28}"/>
    <hyperlink ref="A18" location="'13_Achats - Documents papiers'!A1" display="Achats - Documents papiers" xr:uid="{F661E7A1-1CBF-473B-98EC-8CE5705C1557}"/>
    <hyperlink ref="A21" location="'16_Autres achats (€)'!A1" display="Autres achats" xr:uid="{BF7E1359-8698-411D-B224-373B796A4A5D}"/>
    <hyperlink ref="A19" location="'14_Décors'!A1" display="Décors" xr:uid="{B233D7BD-34D8-4BCA-8704-EC88A346E10C}"/>
    <hyperlink ref="A11" location="'6_DéplacementsPrestations'!A1" display="Déplacements de prestations" xr:uid="{1F85EAEC-7947-40B6-BC71-7D322A8311BE}"/>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'BDD FE'!$B$371:$B$383</xm:f>
          </x14:formula1>
          <xm:sqref>J34:J46</xm:sqref>
        </x14:dataValidation>
        <x14:dataValidation type="list" allowBlank="1" showInputMessage="1" showErrorMessage="1" xr:uid="{BC95A26F-E182-40D4-A206-6D95759E5C5D}">
          <x14:formula1>
            <xm:f>'BDD FE'!$B$685:$B$690</xm:f>
          </x14:formula1>
          <xm:sqref>D54:D67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Q74"/>
  <sheetViews>
    <sheetView showGridLines="0" zoomScale="59" workbookViewId="0">
      <selection activeCell="I19" sqref="I19"/>
    </sheetView>
  </sheetViews>
  <sheetFormatPr baseColWidth="10" defaultColWidth="0" defaultRowHeight="14.5" zeroHeight="1"/>
  <cols>
    <col min="1" max="1" width="11.1796875" customWidth="1"/>
    <col min="2" max="2" width="4.81640625" customWidth="1"/>
    <col min="3" max="3" width="29" bestFit="1" customWidth="1"/>
    <col min="4" max="4" width="21" customWidth="1"/>
    <col min="5" max="6" width="15.1796875" customWidth="1"/>
    <col min="7" max="7" width="13" customWidth="1"/>
    <col min="8" max="8" width="24.1796875" customWidth="1"/>
    <col min="9" max="9" width="12" customWidth="1"/>
    <col min="10" max="10" width="24.1796875" customWidth="1"/>
    <col min="11" max="11" width="11.453125" bestFit="1" customWidth="1"/>
    <col min="12" max="12" width="27.1796875" customWidth="1"/>
    <col min="13" max="13" width="3.453125" customWidth="1"/>
    <col min="14" max="14" width="5.1796875" customWidth="1"/>
    <col min="15" max="15" width="39.36328125" customWidth="1"/>
    <col min="16" max="17" width="0" hidden="1" customWidth="1"/>
    <col min="18" max="16384" width="11.1796875" hidden="1"/>
  </cols>
  <sheetData>
    <row r="1" spans="2:15" ht="20">
      <c r="B1" s="571" t="s">
        <v>3393</v>
      </c>
      <c r="C1" s="572"/>
      <c r="D1" s="572"/>
      <c r="E1" s="572"/>
      <c r="F1" s="572"/>
      <c r="G1" s="572"/>
      <c r="H1" s="572"/>
      <c r="I1" s="572"/>
      <c r="J1" s="572"/>
      <c r="K1" s="572"/>
      <c r="L1" s="572"/>
      <c r="M1" s="573"/>
      <c r="O1" s="101"/>
    </row>
    <row r="2" spans="2:15">
      <c r="B2" s="263"/>
      <c r="C2" s="146"/>
      <c r="D2" s="146"/>
      <c r="E2" s="146"/>
      <c r="F2" s="146"/>
      <c r="G2" s="146"/>
      <c r="H2" s="146"/>
      <c r="I2" s="146"/>
      <c r="J2" s="146"/>
      <c r="K2" s="146"/>
      <c r="L2" s="146"/>
      <c r="M2" s="149"/>
      <c r="O2" s="356"/>
    </row>
    <row r="3" spans="2:15" ht="26">
      <c r="B3" s="263"/>
      <c r="C3" s="130"/>
      <c r="D3" s="188" t="s">
        <v>3584</v>
      </c>
      <c r="E3" s="188" t="s">
        <v>23</v>
      </c>
      <c r="F3" s="188" t="s">
        <v>3446</v>
      </c>
      <c r="G3" s="188" t="s">
        <v>24</v>
      </c>
      <c r="H3" s="188" t="s">
        <v>25</v>
      </c>
      <c r="I3" s="188" t="s">
        <v>26</v>
      </c>
      <c r="J3" s="188" t="s">
        <v>27</v>
      </c>
      <c r="K3" s="188" t="s">
        <v>28</v>
      </c>
      <c r="L3" s="188" t="s">
        <v>29</v>
      </c>
      <c r="M3" s="149"/>
      <c r="O3" s="300"/>
    </row>
    <row r="4" spans="2:15" ht="29">
      <c r="B4" s="283"/>
      <c r="C4" s="315" t="str">
        <f>'Bienvenue !'!B28</f>
        <v>Consommation d'énergie et d'eau</v>
      </c>
      <c r="D4" s="355" t="str">
        <f>IFERROR(IF(VLOOKUP(C4,'Bienvenue !'!$B$27:$E$46,4,FALSE)="X","Poste étudié","Poste non-étudié"),"Poste non-étudié")</f>
        <v>Poste non-étudié</v>
      </c>
      <c r="E4" s="359" t="str">
        <f>IF('2_ConsoEnergieEau'!E2&gt;0,'2_ConsoEnergieEau'!E2,"Non complété")</f>
        <v>Non complété</v>
      </c>
      <c r="F4" s="264" t="str">
        <f t="shared" ref="F4:F22" si="0">IFERROR(E4/$E$23,"Non complété")</f>
        <v>Non complété</v>
      </c>
      <c r="G4" s="191">
        <f>IFERROR(('2_ConsoEnergieEau'!E22)/SUM('2_ConsoEnergieEau'!D38:D53)*10^3,0)</f>
        <v>0</v>
      </c>
      <c r="H4" s="262" t="s">
        <v>30</v>
      </c>
      <c r="I4" s="191">
        <f>IFERROR(('2_ConsoEnergieEau'!I12)/'2_ConsoEnergieEau'!H12*10^3,0)</f>
        <v>0</v>
      </c>
      <c r="J4" s="262" t="s">
        <v>31</v>
      </c>
      <c r="K4" s="154">
        <f>IFERROR(('2_ConsoEnergieEau'!D31+'2_ConsoEnergieEau'!D34)/SUM('2_ConsoEnergieEau'!$D$30:$D$34),0)</f>
        <v>0</v>
      </c>
      <c r="L4" s="262" t="s">
        <v>32</v>
      </c>
      <c r="M4" s="149"/>
      <c r="O4" s="101"/>
    </row>
    <row r="5" spans="2:15">
      <c r="B5" s="283"/>
      <c r="C5" s="315" t="str">
        <f>'Bienvenue !'!B29</f>
        <v>Climatisation</v>
      </c>
      <c r="D5" s="355" t="str">
        <f>IFERROR(IF(VLOOKUP(C5,'Bienvenue !'!$B$27:$E$46,4,FALSE)="X","Poste étudié","Poste non-étudié"),"Poste non-étudié")</f>
        <v>Poste non-étudié</v>
      </c>
      <c r="E5" s="359" t="str">
        <f>IF('3_Climatisation'!F2&gt;0,'3_Climatisation'!F2,"Non complété")</f>
        <v>Non complété</v>
      </c>
      <c r="F5" s="264" t="str">
        <f t="shared" si="0"/>
        <v>Non complété</v>
      </c>
      <c r="G5" s="191">
        <f>IFERROR(E5/SUM('3_Climatisation'!D13:D21)*10^3,0)</f>
        <v>0</v>
      </c>
      <c r="H5" s="262" t="s">
        <v>34</v>
      </c>
      <c r="I5" s="130"/>
      <c r="J5" s="130"/>
      <c r="K5" s="130"/>
      <c r="L5" s="130"/>
      <c r="M5" s="149"/>
    </row>
    <row r="6" spans="2:15" ht="29">
      <c r="B6" s="283"/>
      <c r="C6" s="315" t="str">
        <f>'Bienvenue !'!B30</f>
        <v>Bâtiments, travaux et agencements</v>
      </c>
      <c r="D6" s="355" t="str">
        <f>IFERROR(IF(VLOOKUP(C6,'Bienvenue !'!$B$27:$E$46,4,FALSE)="X","Poste étudié","Poste non-étudié"),"Poste non-étudié")</f>
        <v>Poste non-étudié</v>
      </c>
      <c r="E6" s="359" t="str">
        <f>IF('4_Bâtiments,travaux, agcmt'!F2&gt;0,'4_Bâtiments,travaux, agcmt'!F2,"Non complété")</f>
        <v>Non complété</v>
      </c>
      <c r="F6" s="264" t="str">
        <f t="shared" si="0"/>
        <v>Non complété</v>
      </c>
      <c r="G6" s="191">
        <f>IFERROR('4_Bâtiments,travaux, agcmt'!H22*10^3/SUM('4_Bâtiments,travaux, agcmt'!$F$13:$F$21),0)</f>
        <v>0</v>
      </c>
      <c r="H6" s="314" t="s">
        <v>33</v>
      </c>
      <c r="I6" s="191">
        <f>IFERROR('4_Bâtiments,travaux, agcmt'!H43*10^3/SUM('4_Bâtiments,travaux, agcmt'!$F$34:$F$42),0)</f>
        <v>0</v>
      </c>
      <c r="J6" s="314" t="s">
        <v>3452</v>
      </c>
      <c r="K6" s="130"/>
      <c r="L6" s="130"/>
      <c r="M6" s="149"/>
    </row>
    <row r="7" spans="2:15">
      <c r="B7" s="283"/>
      <c r="C7" s="315" t="str">
        <f>'Bienvenue !'!B31</f>
        <v>Déchets</v>
      </c>
      <c r="D7" s="355" t="str">
        <f>IFERROR(IF(VLOOKUP(C7,'Bienvenue !'!$B$27:$E$46,4,FALSE)="X","Poste étudié","Poste non-étudié"),"Poste non-étudié")</f>
        <v>Poste non-étudié</v>
      </c>
      <c r="E7" s="359" t="str">
        <f>IF('5_Déchets'!G2&gt;0,'5_Déchets'!G2,"Non complété")</f>
        <v>Non complété</v>
      </c>
      <c r="F7" s="264" t="str">
        <f t="shared" si="0"/>
        <v>Non complété</v>
      </c>
      <c r="G7" s="191">
        <f>IFERROR(E7*10^3/SUM('5_Déchets'!$J$13:$J$29),0)</f>
        <v>0</v>
      </c>
      <c r="H7" s="262" t="s">
        <v>38</v>
      </c>
      <c r="K7" s="130"/>
      <c r="L7" s="130"/>
      <c r="M7" s="149"/>
    </row>
    <row r="8" spans="2:15" ht="29">
      <c r="B8" s="283"/>
      <c r="C8" s="315" t="str">
        <f>'Bienvenue !'!B32</f>
        <v>Déplacements liés à des prestations</v>
      </c>
      <c r="D8" s="355" t="str">
        <f>IFERROR(IF(VLOOKUP(C8,'Bienvenue !'!$B$27:$E$46,4,FALSE)="X","Poste étudié","Poste non-étudié"),"Poste non-étudié")</f>
        <v>Poste non-étudié</v>
      </c>
      <c r="E8" s="359" t="str">
        <f>IF('6_DéplacementsPrestations'!F2&gt;0,'6_DéplacementsPrestations'!F2,"Non complété")</f>
        <v>Non complété</v>
      </c>
      <c r="F8" s="264" t="str">
        <f t="shared" si="0"/>
        <v>Non complété</v>
      </c>
      <c r="G8" s="191">
        <f>IFERROR(E8/SUM('6_DéplacementsPrestations'!$G$13:$G$17)*10^3,0)</f>
        <v>0</v>
      </c>
      <c r="H8" s="314" t="s">
        <v>36</v>
      </c>
      <c r="I8" s="191">
        <f>IFERROR(E8/SUM('6_DéplacementsPrestations'!$H$13:$H$17)*10^3,0)</f>
        <v>0</v>
      </c>
      <c r="J8" s="262" t="s">
        <v>35</v>
      </c>
      <c r="K8" s="130"/>
      <c r="L8" s="130"/>
      <c r="M8" s="149"/>
    </row>
    <row r="9" spans="2:15" ht="33" customHeight="1">
      <c r="B9" s="283"/>
      <c r="C9" s="315" t="str">
        <f>'Bienvenue !'!B33</f>
        <v>Déplacements professionnels</v>
      </c>
      <c r="D9" s="355" t="str">
        <f>IFERROR(IF(VLOOKUP(C9,'Bienvenue !'!$B$27:$E$46,4,FALSE)="X","Poste étudié","Poste non-étudié"),"Poste non-étudié")</f>
        <v>Poste non-étudié</v>
      </c>
      <c r="E9" s="359" t="str">
        <f>IF('7_DéplacementsProfessionnels'!G2&gt;0,'7_DéplacementsProfessionnels'!G2,"Non complété")</f>
        <v>Non complété</v>
      </c>
      <c r="F9" s="264" t="str">
        <f t="shared" si="0"/>
        <v>Non complété</v>
      </c>
      <c r="G9" s="191">
        <f>IFERROR('7_DéplacementsProfessionnels'!K39/SUM('7_DéplacementsProfessionnels'!G18:G38)*10^3,0)</f>
        <v>0</v>
      </c>
      <c r="H9" s="314" t="s">
        <v>3447</v>
      </c>
      <c r="I9" s="191">
        <f>IFERROR('7_DéplacementsProfessionnels'!K39/SUM('7_DéplacementsProfessionnels'!H18:H38)*10^3,0)</f>
        <v>0</v>
      </c>
      <c r="J9" s="508" t="s">
        <v>36</v>
      </c>
      <c r="K9" s="154">
        <f>IFERROR(SUM('7_DéplacementsProfessionnels'!E70:E73,'7_DéplacementsProfessionnels'!E61:E64)/'7_DéplacementsProfessionnels'!K39,0)</f>
        <v>0</v>
      </c>
      <c r="L9" s="508" t="s">
        <v>4007</v>
      </c>
      <c r="M9" s="149"/>
    </row>
    <row r="10" spans="2:15" ht="25">
      <c r="B10" s="283"/>
      <c r="C10" s="315" t="str">
        <f>'Bienvenue !'!B34</f>
        <v>Déplacement des salariés</v>
      </c>
      <c r="D10" s="355" t="str">
        <f>IFERROR(IF(VLOOKUP(C10,'Bienvenue !'!$B$27:$E$46,4,FALSE)="X","Poste étudié","Poste non-étudié"),"Poste non-étudié")</f>
        <v>Poste non-étudié</v>
      </c>
      <c r="E10" s="359" t="str">
        <f>IF('8_DéplacementsSalariés'!E2&gt;0,'8_DéplacementsSalariés'!E2,"Non complété")</f>
        <v>Non complété</v>
      </c>
      <c r="F10" s="264" t="str">
        <f t="shared" si="0"/>
        <v>Non complété</v>
      </c>
      <c r="G10" s="191">
        <f>IFERROR(E10*10^3/SUM('8_DéplacementsSalariés'!$E$16:$E$44),0)</f>
        <v>0</v>
      </c>
      <c r="H10" s="262" t="s">
        <v>36</v>
      </c>
      <c r="I10" s="154">
        <f>IFERROR(SUM('8_DéplacementsSalariés'!H83)/SUM('8_DéplacementsSalariés'!H79:H83),0)</f>
        <v>0</v>
      </c>
      <c r="J10" s="508" t="s">
        <v>4008</v>
      </c>
      <c r="K10" s="130"/>
      <c r="L10" s="130"/>
      <c r="M10" s="149"/>
    </row>
    <row r="11" spans="2:15" ht="24.65" customHeight="1">
      <c r="B11" s="283"/>
      <c r="C11" s="315" t="str">
        <f>'Bienvenue !'!B35</f>
        <v>Déplacements des visiteurs</v>
      </c>
      <c r="D11" s="355" t="str">
        <f>IFERROR(IF(VLOOKUP(C11,'Bienvenue !'!$B$27:$E$46,4,FALSE)="X","Poste étudié","Poste non-étudié"),"Poste non-étudié")</f>
        <v>Poste non-étudié</v>
      </c>
      <c r="E11" s="359" t="str">
        <f>IF('9_DéplacementsVisiteurs'!E2&gt;0,'9_DéplacementsVisiteurs'!E2,"Non complété")</f>
        <v>Non complété</v>
      </c>
      <c r="F11" s="264" t="str">
        <f t="shared" si="0"/>
        <v>Non complété</v>
      </c>
      <c r="G11" s="191">
        <f>IFERROR(E11*10^3/SUM('9_DéplacementsVisiteurs'!$D$21:$D$39),0)</f>
        <v>0</v>
      </c>
      <c r="H11" s="262" t="s">
        <v>36</v>
      </c>
      <c r="I11" s="154">
        <f>IFERROR(SUM('9_DéplacementsVisiteurs'!D57:D60,'9_DéplacementsVisiteurs'!D66:D69)/SUM('9_DéplacementsVisiteurs'!D51:D69),0)</f>
        <v>0</v>
      </c>
      <c r="J11" s="508" t="s">
        <v>4009</v>
      </c>
      <c r="K11" s="154">
        <f>IFERROR(SUM('9_DéplacementsVisiteurs'!D53:D54)/SUM('9_DéplacementsVisiteurs'!D51:D69),0)</f>
        <v>0</v>
      </c>
      <c r="L11" s="508" t="s">
        <v>4010</v>
      </c>
      <c r="M11" s="149"/>
    </row>
    <row r="12" spans="2:15" ht="26.4" customHeight="1">
      <c r="B12" s="283"/>
      <c r="C12" s="315" t="str">
        <f>'Bienvenue !'!B36</f>
        <v>Tournées artistiques</v>
      </c>
      <c r="D12" s="355" t="str">
        <f>IFERROR(IF(VLOOKUP(C12,'Bienvenue !'!$B$27:$E$46,4,FALSE)="X","Poste étudié","Poste non-étudié"),"Poste non-étudié")</f>
        <v>Poste non-étudié</v>
      </c>
      <c r="E12" s="359" t="str">
        <f>IF('10_Tournées artistiques'!G2&gt;0,'10_Tournées artistiques'!G2,"Non complété")</f>
        <v>Non complété</v>
      </c>
      <c r="F12" s="264" t="str">
        <f t="shared" si="0"/>
        <v>Non complété</v>
      </c>
      <c r="G12" s="191">
        <f>IFERROR('10_Tournées artistiques'!K43*10^3/SUM('10_Tournées artistiques'!H34:H42),0)</f>
        <v>0</v>
      </c>
      <c r="H12" s="262" t="s">
        <v>36</v>
      </c>
      <c r="I12" s="191">
        <f>IFERROR('10_Tournées artistiques'!K71*10^3/SUM('10_Tournées artistiques'!$J$55:$J$70),0)</f>
        <v>0</v>
      </c>
      <c r="J12" s="314" t="s">
        <v>545</v>
      </c>
      <c r="K12" s="130"/>
      <c r="L12" s="130"/>
      <c r="M12" s="149"/>
    </row>
    <row r="13" spans="2:15" ht="27.65" customHeight="1">
      <c r="B13" s="283"/>
      <c r="C13" s="315" t="str">
        <f>'Bienvenue !'!B37</f>
        <v>Artistes invité.e.s</v>
      </c>
      <c r="D13" s="355" t="str">
        <f>IFERROR(IF(VLOOKUP(C13,'Bienvenue !'!$B$27:$E$46,4,FALSE)="X","Poste étudié","Poste non-étudié"),"Poste non-étudié")</f>
        <v>Poste non-étudié</v>
      </c>
      <c r="E13" s="359" t="str">
        <f>IF('11_Artistes invité.e.s'!I2&gt;0,'11_Artistes invité.e.s'!I2,"Non complété")</f>
        <v>Non complété</v>
      </c>
      <c r="F13" s="264" t="str">
        <f t="shared" si="0"/>
        <v>Non complété</v>
      </c>
      <c r="G13" s="191">
        <f>IFERROR(E13*10^3/SUM('11_Artistes invité.e.s'!$F$15:$F$26,'11_Artistes invité.e.s'!$I$15:$I$26,'11_Artistes invité.e.s'!$L$15:$L$26),0)</f>
        <v>0</v>
      </c>
      <c r="H13" s="262" t="s">
        <v>36</v>
      </c>
      <c r="I13" s="154">
        <f>IFERROR(SUM('11_Artistes invité.e.s'!K60)/'11_Artistes invité.e.s'!L48,0)</f>
        <v>0</v>
      </c>
      <c r="J13" s="508" t="s">
        <v>4011</v>
      </c>
      <c r="K13" s="154">
        <f>IFERROR(SUM('11_Artistes invité.e.s'!F58:F59)/'11_Artistes invité.e.s'!L48,0)</f>
        <v>0</v>
      </c>
      <c r="L13" s="508" t="s">
        <v>4012</v>
      </c>
      <c r="M13" s="149"/>
    </row>
    <row r="14" spans="2:15" ht="25">
      <c r="B14" s="283"/>
      <c r="C14" s="315" t="str">
        <f>'Bienvenue !'!B38</f>
        <v>Equipements</v>
      </c>
      <c r="D14" s="355" t="str">
        <f>IFERROR(IF(VLOOKUP(C14,'Bienvenue !'!$B$27:$E$46,4,FALSE)="X","Poste étudié","Poste non-étudié"),"Poste non-étudié")</f>
        <v>Poste non-étudié</v>
      </c>
      <c r="E14" s="359" t="str">
        <f>IF('12_Equipements'!H2&gt;0,'12_Equipements'!H2,"Non complété")</f>
        <v>Non complété</v>
      </c>
      <c r="F14" s="264" t="str">
        <f t="shared" si="0"/>
        <v>Non complété</v>
      </c>
      <c r="G14" s="154">
        <f>IFERROR('12_Equipements'!G129/'12_Equipements'!H2,0)</f>
        <v>0</v>
      </c>
      <c r="H14" s="508" t="s">
        <v>4013</v>
      </c>
      <c r="I14" s="154">
        <f>IFERROR('12_Equipements'!H61/'12_Equipements'!H2,0)</f>
        <v>0</v>
      </c>
      <c r="J14" s="508" t="s">
        <v>4014</v>
      </c>
      <c r="K14" s="154">
        <f>IFERROR('12_Equipements'!H153/'12_Equipements'!H2,0)</f>
        <v>0</v>
      </c>
      <c r="L14" s="508" t="s">
        <v>4015</v>
      </c>
      <c r="M14" s="149"/>
    </row>
    <row r="15" spans="2:15">
      <c r="B15" s="283"/>
      <c r="C15" s="315" t="str">
        <f>'Bienvenue !'!B39</f>
        <v>Achats - Documents papiers</v>
      </c>
      <c r="D15" s="355" t="str">
        <f>IFERROR(IF(VLOOKUP(C15,'Bienvenue !'!$B$27:$E$46,4,FALSE)="X","Poste étudié","Poste non-étudié"),"Poste non-étudié")</f>
        <v>Poste non-étudié</v>
      </c>
      <c r="E15" s="359" t="str">
        <f>IF('13_Achats - Documents papiers'!F2&gt;0,'13_Achats - Documents papiers'!F2,"Non complété")</f>
        <v>Non complété</v>
      </c>
      <c r="F15" s="264" t="str">
        <f t="shared" si="0"/>
        <v>Non complété</v>
      </c>
      <c r="G15" s="130"/>
      <c r="H15" s="130"/>
      <c r="I15" s="130"/>
      <c r="J15" s="130"/>
      <c r="K15" s="130"/>
      <c r="L15" s="130"/>
      <c r="M15" s="149"/>
    </row>
    <row r="16" spans="2:15" ht="25">
      <c r="B16" s="283"/>
      <c r="C16" s="315" t="str">
        <f>'Bienvenue !'!B40</f>
        <v>Décors</v>
      </c>
      <c r="D16" s="355" t="str">
        <f>IFERROR(IF(VLOOKUP(C16,'Bienvenue !'!$B$27:$E$46,4,FALSE)="X","Poste étudié","Poste non-étudié"),"Poste non-étudié")</f>
        <v>Poste non-étudié</v>
      </c>
      <c r="E16" s="359" t="str">
        <f>IF('14_Décors'!F2&gt;0,'14_Décors'!F2,"Non complété")</f>
        <v>Non complété</v>
      </c>
      <c r="F16" s="264" t="str">
        <f t="shared" si="0"/>
        <v>Non complété</v>
      </c>
      <c r="G16" s="154">
        <f>IFERROR('14_Décors'!H37/'14_Décors'!F2,0)</f>
        <v>0</v>
      </c>
      <c r="H16" s="508" t="s">
        <v>4016</v>
      </c>
      <c r="I16" s="154">
        <f>IFERROR('14_Décors'!H59/'14_Décors'!F2,0)</f>
        <v>0</v>
      </c>
      <c r="J16" s="508" t="s">
        <v>4017</v>
      </c>
      <c r="K16" s="130"/>
      <c r="L16" s="130"/>
      <c r="M16" s="149"/>
    </row>
    <row r="17" spans="2:13">
      <c r="B17" s="283"/>
      <c r="C17" s="315" t="str">
        <f>'Bienvenue !'!B41</f>
        <v>Alimentation</v>
      </c>
      <c r="D17" s="355" t="str">
        <f>IFERROR(IF(VLOOKUP(C17,'Bienvenue !'!$B$27:$E$46,4,FALSE)="X","Poste étudié","Poste non-étudié"),"Poste non-étudié")</f>
        <v>Poste non-étudié</v>
      </c>
      <c r="E17" s="359" t="str">
        <f>IF('15_Alimentation'!E2&gt;0,'15_Alimentation'!E2,"Non complété")</f>
        <v>Non complété</v>
      </c>
      <c r="F17" s="264" t="str">
        <f t="shared" si="0"/>
        <v>Non complété</v>
      </c>
      <c r="G17" s="191">
        <f>IFERROR('15_Alimentation'!F52*10^3/'15_Alimentation'!D38,0)</f>
        <v>0</v>
      </c>
      <c r="H17" s="314" t="s">
        <v>3449</v>
      </c>
      <c r="K17" s="130"/>
      <c r="L17" s="130"/>
      <c r="M17" s="149"/>
    </row>
    <row r="18" spans="2:13">
      <c r="B18" s="283"/>
      <c r="C18" s="315" t="str">
        <f>'Bienvenue !'!B42</f>
        <v>Autres achats</v>
      </c>
      <c r="D18" s="355" t="str">
        <f>IFERROR(IF(VLOOKUP(C18,'Bienvenue !'!$B$27:$E$46,4,FALSE)="X","Poste étudié","Poste non-étudié"),"Poste non-étudié")</f>
        <v>Poste non-étudié</v>
      </c>
      <c r="E18" s="359" t="str">
        <f>IF('16_Autres achats (€)'!E2&gt;0,'16_Autres achats (€)'!E2,"Non complété")</f>
        <v>Non complété</v>
      </c>
      <c r="F18" s="264" t="str">
        <f t="shared" si="0"/>
        <v>Non complété</v>
      </c>
      <c r="G18" s="191">
        <f>IFERROR(E18*10^3/SUM('16_Autres achats (€)'!F13:F30),0)</f>
        <v>0</v>
      </c>
      <c r="H18" s="262" t="s">
        <v>35</v>
      </c>
      <c r="I18" s="261"/>
      <c r="J18" s="158"/>
      <c r="K18" s="130"/>
      <c r="L18" s="130"/>
      <c r="M18" s="149"/>
    </row>
    <row r="19" spans="2:13" ht="29">
      <c r="B19" s="283"/>
      <c r="C19" s="315" t="str">
        <f>'Bienvenue !'!B43</f>
        <v>Transport de matériel et d'œuvres</v>
      </c>
      <c r="D19" s="355" t="str">
        <f>IFERROR(IF(VLOOKUP(C19,'Bienvenue !'!$B$27:$E$46,4,FALSE)="X","Poste étudié","Poste non-étudié"),"Poste non-étudié")</f>
        <v>Poste non-étudié</v>
      </c>
      <c r="E19" s="359" t="str">
        <f>IF('17_TransportMatériel'!F2&gt;0,'17_TransportMatériel'!F2,"Non complété")</f>
        <v>Non complété</v>
      </c>
      <c r="F19" s="264" t="str">
        <f t="shared" si="0"/>
        <v>Non complété</v>
      </c>
      <c r="G19" s="191">
        <f>IFERROR(E19*10^3/SUM('17_TransportMatériel'!$H$13:$H$40),0)</f>
        <v>0</v>
      </c>
      <c r="H19" s="314" t="s">
        <v>545</v>
      </c>
      <c r="I19" s="261"/>
      <c r="J19" s="158"/>
      <c r="K19" s="130"/>
      <c r="L19" s="130"/>
      <c r="M19" s="149"/>
    </row>
    <row r="20" spans="2:13" ht="29">
      <c r="B20" s="283"/>
      <c r="C20" s="315" t="str">
        <f>'Bienvenue !'!B44</f>
        <v>Impression et communication papier</v>
      </c>
      <c r="D20" s="355" t="str">
        <f>IFERROR(IF(VLOOKUP(C20,'Bienvenue !'!$B$27:$E$46,4,FALSE)="X","Poste étudié","Poste non-étudié"),"Poste non-étudié")</f>
        <v>Poste non-étudié</v>
      </c>
      <c r="E20" s="359" t="str">
        <f>IF('18_ImpressionsComPapier'!M2&gt;0,'18_ImpressionsComPapier'!M2,"Non complété")</f>
        <v>Non complété</v>
      </c>
      <c r="F20" s="264" t="str">
        <f t="shared" si="0"/>
        <v>Non complété</v>
      </c>
      <c r="G20" s="191">
        <f>IFERROR('18_ImpressionsComPapier'!J30*10^3/SUM('18_ImpressionsComPapier'!$H$15:$H$29)*1000,0)</f>
        <v>0</v>
      </c>
      <c r="H20" s="314" t="s">
        <v>38</v>
      </c>
      <c r="I20" s="261"/>
      <c r="J20" s="158"/>
      <c r="K20" s="130"/>
      <c r="L20" s="130"/>
      <c r="M20" s="149"/>
    </row>
    <row r="21" spans="2:13">
      <c r="B21" s="283"/>
      <c r="C21" s="315" t="str">
        <f>'Bienvenue !'!B45</f>
        <v>Communication digitale</v>
      </c>
      <c r="D21" s="355" t="str">
        <f>IFERROR(IF(VLOOKUP(C21,'Bienvenue !'!$B$27:$E$46,4,FALSE)="X","Poste étudié","Poste non-étudié"),"Poste non-étudié")</f>
        <v>Poste non-étudié</v>
      </c>
      <c r="E21" s="359" t="str">
        <f>IF('19_ComDigitale'!H2&gt;0,'19_ComDigitale'!H2,"Non complété")</f>
        <v>Non complété</v>
      </c>
      <c r="F21" s="264" t="str">
        <f t="shared" si="0"/>
        <v>Non complété</v>
      </c>
      <c r="G21" s="261"/>
      <c r="H21" s="261"/>
      <c r="I21" s="261"/>
      <c r="J21" s="158"/>
      <c r="K21" s="130"/>
      <c r="L21" s="130"/>
      <c r="M21" s="149"/>
    </row>
    <row r="22" spans="2:13" ht="15" thickBot="1">
      <c r="B22" s="283"/>
      <c r="C22" s="315" t="str">
        <f>'Bienvenue !'!B46</f>
        <v>Billetterie</v>
      </c>
      <c r="D22" s="355" t="str">
        <f>IFERROR(IF(VLOOKUP(C22,'Bienvenue !'!$B$27:$E$46,4,FALSE)="X","Poste étudié","Poste non-étudié"),"Poste non-étudié")</f>
        <v>Poste non-étudié</v>
      </c>
      <c r="E22" s="360" t="str">
        <f>IF('20_Billetterie'!H2&gt;0,'20_Billetterie'!H2,"Non complété")</f>
        <v>Non complété</v>
      </c>
      <c r="F22" s="264" t="str">
        <f t="shared" si="0"/>
        <v>Non complété</v>
      </c>
      <c r="G22" s="191">
        <f>IFERROR('20_Billetterie'!L28*10^3/SUM('20_Billetterie'!$D$14:$D$27),0)</f>
        <v>0</v>
      </c>
      <c r="H22" s="314" t="s">
        <v>3451</v>
      </c>
      <c r="I22" s="261"/>
      <c r="J22" s="158"/>
      <c r="K22" s="130"/>
      <c r="L22" s="130"/>
      <c r="M22" s="149"/>
    </row>
    <row r="23" spans="2:13" ht="15" thickBot="1">
      <c r="B23" s="263"/>
      <c r="C23" s="130"/>
      <c r="D23" s="130"/>
      <c r="E23" s="361">
        <f>SUM(E4:E22)</f>
        <v>0</v>
      </c>
      <c r="F23" s="130"/>
      <c r="G23" s="130"/>
      <c r="H23" s="130"/>
      <c r="I23" s="130"/>
      <c r="J23" s="130"/>
      <c r="K23" s="130"/>
      <c r="L23" s="130"/>
      <c r="M23" s="149"/>
    </row>
    <row r="24" spans="2:13">
      <c r="B24" s="263"/>
      <c r="C24" s="130"/>
      <c r="D24" s="130"/>
      <c r="E24" s="130"/>
      <c r="F24" s="130"/>
      <c r="G24" s="130"/>
      <c r="H24" s="130"/>
      <c r="I24" s="130"/>
      <c r="J24" s="130"/>
      <c r="K24" s="130"/>
      <c r="L24" s="130"/>
      <c r="M24" s="149"/>
    </row>
    <row r="25" spans="2:13">
      <c r="B25" s="263"/>
      <c r="C25" s="303" t="s">
        <v>39</v>
      </c>
      <c r="D25" s="303"/>
      <c r="E25" s="191">
        <f>IFERROR(E23*10^3/'1_Votre Structure'!E8,0)</f>
        <v>0</v>
      </c>
      <c r="F25" s="262" t="s">
        <v>40</v>
      </c>
      <c r="G25" s="130"/>
      <c r="H25" s="130"/>
      <c r="I25" s="130"/>
      <c r="J25" s="130"/>
      <c r="K25" s="130"/>
      <c r="L25" s="130"/>
      <c r="M25" s="149"/>
    </row>
    <row r="26" spans="2:13">
      <c r="B26" s="263"/>
      <c r="C26" s="146"/>
      <c r="D26" s="146"/>
      <c r="E26" s="146"/>
      <c r="F26" s="146"/>
      <c r="G26" s="146"/>
      <c r="H26" s="146"/>
      <c r="I26" s="146"/>
      <c r="J26" s="146"/>
      <c r="K26" s="146"/>
      <c r="L26" s="146"/>
      <c r="M26" s="149"/>
    </row>
    <row r="27" spans="2:13">
      <c r="B27" s="263"/>
      <c r="C27" s="146"/>
      <c r="D27" s="146"/>
      <c r="E27" s="146"/>
      <c r="F27" s="146"/>
      <c r="G27" s="146"/>
      <c r="H27" s="146"/>
      <c r="I27" s="146"/>
      <c r="J27" s="146"/>
      <c r="K27" s="146"/>
      <c r="L27" s="146"/>
      <c r="M27" s="149"/>
    </row>
    <row r="28" spans="2:13">
      <c r="B28" s="263"/>
      <c r="C28" s="146"/>
      <c r="D28" s="146"/>
      <c r="E28" s="146"/>
      <c r="F28" s="146"/>
      <c r="G28" s="146"/>
      <c r="H28" s="146"/>
      <c r="I28" s="146"/>
      <c r="J28" s="146"/>
      <c r="K28" s="146"/>
      <c r="L28" s="146"/>
      <c r="M28" s="149"/>
    </row>
    <row r="29" spans="2:13">
      <c r="B29" s="263"/>
      <c r="C29" s="146"/>
      <c r="D29" s="146"/>
      <c r="E29" s="146"/>
      <c r="F29" s="146"/>
      <c r="G29" s="146"/>
      <c r="H29" s="146"/>
      <c r="I29" s="146"/>
      <c r="J29" s="146"/>
      <c r="K29" s="146"/>
      <c r="L29" s="146"/>
      <c r="M29" s="149"/>
    </row>
    <row r="30" spans="2:13">
      <c r="B30" s="263"/>
      <c r="C30" s="146"/>
      <c r="D30" s="146"/>
      <c r="E30" s="146"/>
      <c r="F30" s="146"/>
      <c r="G30" s="146"/>
      <c r="H30" s="146"/>
      <c r="I30" s="146"/>
      <c r="J30" s="146"/>
      <c r="K30" s="146"/>
      <c r="L30" s="146"/>
      <c r="M30" s="149"/>
    </row>
    <row r="31" spans="2:13">
      <c r="B31" s="263"/>
      <c r="C31" s="146"/>
      <c r="D31" s="146"/>
      <c r="E31" s="146"/>
      <c r="F31" s="146"/>
      <c r="G31" s="146"/>
      <c r="H31" s="146"/>
      <c r="I31" s="146"/>
      <c r="J31" s="146"/>
      <c r="K31" s="146"/>
      <c r="L31" s="146"/>
      <c r="M31" s="149"/>
    </row>
    <row r="32" spans="2:13">
      <c r="B32" s="263"/>
      <c r="C32" s="146"/>
      <c r="D32" s="146"/>
      <c r="E32" s="146"/>
      <c r="F32" s="146"/>
      <c r="G32" s="146"/>
      <c r="H32" s="146"/>
      <c r="I32" s="146"/>
      <c r="J32" s="146"/>
      <c r="K32" s="146"/>
      <c r="L32" s="146"/>
      <c r="M32" s="149"/>
    </row>
    <row r="33" spans="2:13">
      <c r="B33" s="263"/>
      <c r="C33" s="146"/>
      <c r="D33" s="146"/>
      <c r="E33" s="146"/>
      <c r="F33" s="146"/>
      <c r="G33" s="146"/>
      <c r="H33" s="146"/>
      <c r="I33" s="146"/>
      <c r="J33" s="146"/>
      <c r="K33" s="146"/>
      <c r="L33" s="146"/>
      <c r="M33" s="149"/>
    </row>
    <row r="34" spans="2:13">
      <c r="B34" s="263"/>
      <c r="C34" s="146"/>
      <c r="D34" s="146"/>
      <c r="E34" s="146"/>
      <c r="F34" s="146"/>
      <c r="G34" s="146"/>
      <c r="H34" s="146"/>
      <c r="I34" s="146"/>
      <c r="J34" s="146"/>
      <c r="K34" s="146"/>
      <c r="L34" s="146"/>
      <c r="M34" s="149"/>
    </row>
    <row r="35" spans="2:13">
      <c r="B35" s="263"/>
      <c r="C35" s="146"/>
      <c r="D35" s="146"/>
      <c r="E35" s="146"/>
      <c r="F35" s="146"/>
      <c r="G35" s="146"/>
      <c r="H35" s="146"/>
      <c r="I35" s="146"/>
      <c r="J35" s="146"/>
      <c r="K35" s="146"/>
      <c r="L35" s="146"/>
      <c r="M35" s="149"/>
    </row>
    <row r="36" spans="2:13">
      <c r="B36" s="263"/>
      <c r="C36" s="146"/>
      <c r="D36" s="146"/>
      <c r="E36" s="146"/>
      <c r="F36" s="146"/>
      <c r="G36" s="146"/>
      <c r="H36" s="146"/>
      <c r="I36" s="146"/>
      <c r="J36" s="146"/>
      <c r="K36" s="146"/>
      <c r="L36" s="146"/>
      <c r="M36" s="149"/>
    </row>
    <row r="37" spans="2:13">
      <c r="B37" s="263"/>
      <c r="C37" s="146"/>
      <c r="D37" s="146"/>
      <c r="E37" s="146"/>
      <c r="F37" s="146"/>
      <c r="G37" s="146"/>
      <c r="H37" s="146"/>
      <c r="I37" s="146"/>
      <c r="J37" s="146"/>
      <c r="K37" s="146"/>
      <c r="L37" s="146"/>
      <c r="M37" s="149"/>
    </row>
    <row r="38" spans="2:13">
      <c r="B38" s="263"/>
      <c r="C38" s="146"/>
      <c r="D38" s="146"/>
      <c r="E38" s="146"/>
      <c r="F38" s="146"/>
      <c r="G38" s="146"/>
      <c r="H38" s="146"/>
      <c r="I38" s="146"/>
      <c r="J38" s="146"/>
      <c r="K38" s="146"/>
      <c r="L38" s="146"/>
      <c r="M38" s="149"/>
    </row>
    <row r="39" spans="2:13">
      <c r="B39" s="263"/>
      <c r="C39" s="146"/>
      <c r="D39" s="146"/>
      <c r="E39" s="146"/>
      <c r="F39" s="146"/>
      <c r="G39" s="146"/>
      <c r="H39" s="146"/>
      <c r="I39" s="146"/>
      <c r="J39" s="146"/>
      <c r="K39" s="146"/>
      <c r="L39" s="146"/>
      <c r="M39" s="149"/>
    </row>
    <row r="40" spans="2:13">
      <c r="B40" s="263"/>
      <c r="C40" s="146"/>
      <c r="D40" s="146"/>
      <c r="E40" s="146"/>
      <c r="F40" s="146"/>
      <c r="G40" s="146"/>
      <c r="H40" s="146"/>
      <c r="I40" s="146"/>
      <c r="J40" s="146"/>
      <c r="K40" s="146"/>
      <c r="L40" s="146"/>
      <c r="M40" s="149"/>
    </row>
    <row r="41" spans="2:13">
      <c r="B41" s="263"/>
      <c r="C41" s="146"/>
      <c r="D41" s="146"/>
      <c r="E41" s="146"/>
      <c r="F41" s="146"/>
      <c r="G41" s="146"/>
      <c r="H41" s="146"/>
      <c r="I41" s="146"/>
      <c r="J41" s="146"/>
      <c r="K41" s="146"/>
      <c r="L41" s="146"/>
      <c r="M41" s="149"/>
    </row>
    <row r="42" spans="2:13">
      <c r="B42" s="263"/>
      <c r="C42" s="146"/>
      <c r="D42" s="146"/>
      <c r="E42" s="146"/>
      <c r="F42" s="146"/>
      <c r="G42" s="146"/>
      <c r="H42" s="146"/>
      <c r="I42" s="146"/>
      <c r="J42" s="146"/>
      <c r="K42" s="146"/>
      <c r="L42" s="146"/>
      <c r="M42" s="149"/>
    </row>
    <row r="43" spans="2:13">
      <c r="B43" s="263"/>
      <c r="C43" s="146"/>
      <c r="D43" s="146"/>
      <c r="E43" s="146"/>
      <c r="F43" s="146"/>
      <c r="G43" s="146"/>
      <c r="H43" s="146"/>
      <c r="I43" s="146"/>
      <c r="J43" s="146"/>
      <c r="K43" s="146"/>
      <c r="L43" s="146"/>
      <c r="M43" s="149"/>
    </row>
    <row r="44" spans="2:13">
      <c r="B44" s="263"/>
      <c r="C44" s="146"/>
      <c r="D44" s="146"/>
      <c r="E44" s="146"/>
      <c r="F44" s="146"/>
      <c r="G44" s="146"/>
      <c r="H44" s="146"/>
      <c r="I44" s="146"/>
      <c r="J44" s="146"/>
      <c r="K44" s="146"/>
      <c r="L44" s="146"/>
      <c r="M44" s="149"/>
    </row>
    <row r="45" spans="2:13">
      <c r="B45" s="263"/>
      <c r="C45" s="146"/>
      <c r="D45" s="146"/>
      <c r="E45" s="146"/>
      <c r="F45" s="146"/>
      <c r="G45" s="146"/>
      <c r="H45" s="146"/>
      <c r="I45" s="146"/>
      <c r="J45" s="146"/>
      <c r="K45" s="146"/>
      <c r="L45" s="146"/>
      <c r="M45" s="149"/>
    </row>
    <row r="46" spans="2:13">
      <c r="B46" s="263"/>
      <c r="C46" s="146"/>
      <c r="D46" s="146"/>
      <c r="E46" s="146"/>
      <c r="F46" s="146"/>
      <c r="G46" s="146"/>
      <c r="H46" s="146"/>
      <c r="I46" s="146"/>
      <c r="J46" s="146"/>
      <c r="K46" s="146"/>
      <c r="L46" s="146"/>
      <c r="M46" s="149"/>
    </row>
    <row r="47" spans="2:13">
      <c r="B47" s="263"/>
      <c r="C47" s="146"/>
      <c r="D47" s="146"/>
      <c r="E47" s="146"/>
      <c r="F47" s="146"/>
      <c r="G47" s="146"/>
      <c r="H47" s="146"/>
      <c r="I47" s="146"/>
      <c r="J47" s="146"/>
      <c r="K47" s="146"/>
      <c r="L47" s="146"/>
      <c r="M47" s="149"/>
    </row>
    <row r="48" spans="2:13">
      <c r="B48" s="263"/>
      <c r="C48" s="146"/>
      <c r="D48" s="146"/>
      <c r="E48" s="146"/>
      <c r="F48" s="146"/>
      <c r="G48" s="146"/>
      <c r="H48" s="146"/>
      <c r="I48" s="146"/>
      <c r="J48" s="146"/>
      <c r="K48" s="146"/>
      <c r="L48" s="146"/>
      <c r="M48" s="149"/>
    </row>
    <row r="49" spans="2:13">
      <c r="B49" s="263"/>
      <c r="C49" s="146"/>
      <c r="D49" s="146"/>
      <c r="E49" s="146"/>
      <c r="F49" s="146"/>
      <c r="G49" s="146"/>
      <c r="H49" s="146"/>
      <c r="I49" s="146"/>
      <c r="J49" s="146"/>
      <c r="K49" s="146"/>
      <c r="L49" s="146"/>
      <c r="M49" s="149"/>
    </row>
    <row r="50" spans="2:13">
      <c r="B50" s="263"/>
      <c r="C50" s="146"/>
      <c r="D50" s="146"/>
      <c r="E50" s="146"/>
      <c r="F50" s="146"/>
      <c r="G50" s="146"/>
      <c r="H50" s="146"/>
      <c r="I50" s="146"/>
      <c r="J50" s="146"/>
      <c r="K50" s="146"/>
      <c r="L50" s="146"/>
      <c r="M50" s="149"/>
    </row>
    <row r="51" spans="2:13">
      <c r="B51" s="145"/>
      <c r="M51" s="149"/>
    </row>
    <row r="52" spans="2:13">
      <c r="B52" s="145"/>
      <c r="M52" s="149"/>
    </row>
    <row r="53" spans="2:13">
      <c r="B53" s="145"/>
      <c r="M53" s="149"/>
    </row>
    <row r="54" spans="2:13">
      <c r="B54" s="145"/>
      <c r="M54" s="149"/>
    </row>
    <row r="55" spans="2:13">
      <c r="B55" s="145"/>
      <c r="M55" s="149"/>
    </row>
    <row r="56" spans="2:13">
      <c r="B56" s="145"/>
      <c r="M56" s="149"/>
    </row>
    <row r="57" spans="2:13">
      <c r="B57" s="145"/>
      <c r="M57" s="149"/>
    </row>
    <row r="58" spans="2:13">
      <c r="B58" s="145"/>
      <c r="M58" s="149"/>
    </row>
    <row r="59" spans="2:13">
      <c r="B59" s="145"/>
      <c r="M59" s="149"/>
    </row>
    <row r="60" spans="2:13">
      <c r="B60" s="145"/>
      <c r="M60" s="149"/>
    </row>
    <row r="61" spans="2:13">
      <c r="B61" s="145"/>
      <c r="M61" s="149"/>
    </row>
    <row r="62" spans="2:13">
      <c r="B62" s="145"/>
      <c r="M62" s="149"/>
    </row>
    <row r="63" spans="2:13">
      <c r="B63" s="145"/>
      <c r="M63" s="149"/>
    </row>
    <row r="64" spans="2:13">
      <c r="B64" s="145"/>
      <c r="M64" s="149"/>
    </row>
    <row r="65" spans="2:13">
      <c r="B65" s="145"/>
      <c r="M65" s="149"/>
    </row>
    <row r="66" spans="2:13">
      <c r="B66" s="145"/>
      <c r="M66" s="149"/>
    </row>
    <row r="67" spans="2:13">
      <c r="B67" s="145"/>
      <c r="M67" s="149"/>
    </row>
    <row r="68" spans="2:13">
      <c r="B68" s="145"/>
      <c r="M68" s="149"/>
    </row>
    <row r="69" spans="2:13">
      <c r="B69" s="145"/>
      <c r="M69" s="149"/>
    </row>
    <row r="70" spans="2:13">
      <c r="B70" s="145"/>
      <c r="M70" s="149"/>
    </row>
    <row r="71" spans="2:13">
      <c r="B71" s="145"/>
      <c r="M71" s="149"/>
    </row>
    <row r="72" spans="2:13">
      <c r="B72" s="145"/>
      <c r="M72" s="149"/>
    </row>
    <row r="73" spans="2:13" ht="15" thickBot="1">
      <c r="B73" s="150"/>
      <c r="C73" s="151"/>
      <c r="D73" s="151"/>
      <c r="E73" s="151"/>
      <c r="F73" s="151"/>
      <c r="G73" s="151"/>
      <c r="H73" s="151"/>
      <c r="I73" s="151"/>
      <c r="J73" s="151"/>
      <c r="K73" s="151"/>
      <c r="L73" s="151"/>
      <c r="M73" s="152"/>
    </row>
    <row r="74" spans="2:13"/>
  </sheetData>
  <mergeCells count="1">
    <mergeCell ref="B1:M1"/>
  </mergeCells>
  <conditionalFormatting sqref="D4:D22">
    <cfRule type="containsText" dxfId="1" priority="1" operator="containsText" text="Poste non-étudié">
      <formula>NOT(ISERROR(SEARCH("Poste non-étudié",D4)))</formula>
    </cfRule>
    <cfRule type="containsText" dxfId="0" priority="2" operator="containsText" text="Poste étudié">
      <formula>NOT(ISERROR(SEARCH("Poste étudié",D4)))</formula>
    </cfRule>
  </conditionalFormatting>
  <conditionalFormatting sqref="D22">
    <cfRule type="colorScale" priority="3">
      <colorScale>
        <cfvo type="min"/>
        <cfvo type="percentile" val="50"/>
        <cfvo type="max"/>
        <color rgb="FF63BE7B"/>
        <color rgb="FFFFEB84"/>
        <color rgb="FFF8696B"/>
      </colorScale>
    </cfRule>
  </conditionalFormatting>
  <conditionalFormatting sqref="E4:F22">
    <cfRule type="colorScale" priority="4">
      <colorScale>
        <cfvo type="min"/>
        <cfvo type="percentile" val="50"/>
        <cfvo type="max"/>
        <color rgb="FF63BE7B"/>
        <color rgb="FFFFEB84"/>
        <color rgb="FFF8696B"/>
      </colorScale>
    </cfRule>
  </conditionalFormatting>
  <hyperlinks>
    <hyperlink ref="C22" location="'20_Billetterie'!A1" display="'20_Billetterie'!A1" xr:uid="{00000000-0004-0000-1300-00000F000000}"/>
    <hyperlink ref="C21" location="'19_ComDigitale'!A1" display="'19_ComDigitale'!A1" xr:uid="{00000000-0004-0000-1300-00000E000000}"/>
    <hyperlink ref="C17" location="'15_Alimentation'!A1" display="'15_Alimentation'!A1" xr:uid="{00000000-0004-0000-1300-00000D000000}"/>
    <hyperlink ref="C16" location="'14_Décors'!A1" display="'14_Décors'!A1" xr:uid="{00000000-0004-0000-1300-00000C000000}"/>
    <hyperlink ref="C15" location="'13_Achats - Documents papiers'!A1" display="'13_Achats - Documents papiers'!A1" xr:uid="{00000000-0004-0000-1300-00000B000000}"/>
    <hyperlink ref="C14" location="'12_Equipements'!A1" display="'12_Equipements'!A1" xr:uid="{00000000-0004-0000-1300-00000A000000}"/>
    <hyperlink ref="C13" location="'11_Artistes invité.e.s'!A1" display="'11_Artistes invité.e.s'!A1" xr:uid="{00000000-0004-0000-1300-000009000000}"/>
    <hyperlink ref="C12" location="'10_Tournées artistiques'!A1" display="'10_Tournées artistiques'!A1" xr:uid="{00000000-0004-0000-1300-000008000000}"/>
    <hyperlink ref="C11" location="'9_DéplacementsVisiteurs'!A1" display="'9_DéplacementsVisiteurs'!A1" xr:uid="{00000000-0004-0000-1300-000007000000}"/>
    <hyperlink ref="C10" location="'8_DéplacementsSalariés'!A1" display="'8_DéplacementsSalariés'!A1" xr:uid="{00000000-0004-0000-1300-000006000000}"/>
    <hyperlink ref="C9" location="'7_DéplacementsProfessionnels'!A1" display="'7_DéplacementsProfessionnels'!A1" xr:uid="{00000000-0004-0000-1300-000005000000}"/>
    <hyperlink ref="C8" location="'6_DéplacementsPrestations'!A1" display="'6_DéplacementsPrestations'!A1" xr:uid="{00000000-0004-0000-1300-000004000000}"/>
    <hyperlink ref="C7" location="'5_Déchets'!A1" display="'5_Déchets'!A1" xr:uid="{00000000-0004-0000-1300-000003000000}"/>
    <hyperlink ref="C6" location="'4_Bâtiments,travaux, agcmt'!A1" display="'4_Bâtiments,travaux, agcmt'!A1" xr:uid="{00000000-0004-0000-1300-000002000000}"/>
    <hyperlink ref="C5" location="'3_Climatisation'!A1" display="'3_Climatisation'!A1" xr:uid="{00000000-0004-0000-1300-000001000000}"/>
    <hyperlink ref="C4" location="'2_ConsoEnergieEau'!A1" display="'2_ConsoEnergieEau'!A1" xr:uid="{00000000-0004-0000-1300-000000000000}"/>
    <hyperlink ref="C5:C17" location="'2_ConsoFluides'!A1" display="Consommation des fluides" xr:uid="{123B6530-5819-4173-B78F-71B6C3F104C7}"/>
    <hyperlink ref="C15:C22" location="'12_ComDigitale'!A1" display="Communication digitale" xr:uid="{02470062-EEE7-4BAD-A9A5-D7F8FB40898F}"/>
    <hyperlink ref="C18" location="'16_Autres achats (€)'!A1" display="'16_Autres achats (€)'!A1" xr:uid="{B17E0065-0966-43B0-BA00-44A499ABE335}"/>
    <hyperlink ref="C19" location="'17_TransportMatériel'!A1" display="'17_TransportMatériel'!A1" xr:uid="{8B071298-3182-4B9E-9967-8D3187D04FCF}"/>
    <hyperlink ref="C20" location="'18_ImpressionsComPapier'!A1" display="'18_ImpressionsComPapier'!A1" xr:uid="{82E78D56-5EFC-47DF-84A9-7F2BDF6C9EC6}"/>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
    <tabColor rgb="FF002060"/>
  </sheetPr>
  <dimension ref="A2:AE92"/>
  <sheetViews>
    <sheetView showGridLines="0" topLeftCell="A45" workbookViewId="0">
      <selection activeCell="K30" sqref="K30"/>
    </sheetView>
  </sheetViews>
  <sheetFormatPr baseColWidth="10" defaultColWidth="11.453125" defaultRowHeight="14"/>
  <cols>
    <col min="1" max="1" width="1.453125" style="7" customWidth="1"/>
    <col min="2" max="27" width="2.81640625" style="7" customWidth="1"/>
    <col min="28" max="28" width="4.36328125" style="7" customWidth="1"/>
    <col min="29" max="31" width="2.81640625" style="7" customWidth="1"/>
    <col min="32" max="16384" width="11.453125" style="7"/>
  </cols>
  <sheetData>
    <row r="2" spans="1:31" ht="33.75" customHeight="1">
      <c r="A2" s="15"/>
      <c r="B2" s="15"/>
      <c r="C2" s="15"/>
      <c r="D2" s="15"/>
      <c r="E2" s="740" t="s">
        <v>184</v>
      </c>
      <c r="F2" s="740"/>
      <c r="G2" s="740"/>
      <c r="H2" s="740"/>
      <c r="I2" s="740"/>
      <c r="J2" s="740"/>
      <c r="K2" s="740"/>
      <c r="L2" s="740"/>
      <c r="M2" s="740"/>
      <c r="N2" s="740"/>
      <c r="O2" s="740"/>
      <c r="P2" s="740"/>
      <c r="Q2" s="740"/>
      <c r="R2" s="740"/>
      <c r="S2" s="740"/>
      <c r="T2" s="740"/>
      <c r="U2" s="740"/>
      <c r="V2" s="740"/>
      <c r="W2" s="740"/>
      <c r="X2" s="740"/>
      <c r="Y2" s="740"/>
      <c r="Z2" s="740"/>
      <c r="AA2" s="740"/>
      <c r="AB2" s="16"/>
      <c r="AC2" s="16"/>
      <c r="AD2" s="16"/>
      <c r="AE2" s="16"/>
    </row>
    <row r="3" spans="1:31" ht="19" customHeight="1">
      <c r="A3" s="15"/>
      <c r="B3" s="15"/>
      <c r="C3" s="15"/>
      <c r="D3" s="15"/>
      <c r="E3" s="741" t="s">
        <v>185</v>
      </c>
      <c r="F3" s="741"/>
      <c r="G3" s="741"/>
      <c r="H3" s="741"/>
      <c r="I3" s="741"/>
      <c r="J3" s="741"/>
      <c r="K3" s="741"/>
      <c r="L3" s="741"/>
      <c r="M3" s="741"/>
      <c r="N3" s="741"/>
      <c r="O3" s="741"/>
      <c r="P3" s="741"/>
      <c r="Q3" s="741"/>
      <c r="R3" s="741"/>
      <c r="S3" s="741"/>
      <c r="T3" s="741"/>
      <c r="U3" s="741"/>
      <c r="V3" s="741"/>
      <c r="W3" s="741"/>
      <c r="X3" s="741"/>
      <c r="Y3" s="741"/>
      <c r="Z3" s="741"/>
      <c r="AA3" s="741"/>
      <c r="AB3" s="16"/>
      <c r="AC3" s="16"/>
      <c r="AD3" s="16"/>
      <c r="AE3" s="16"/>
    </row>
    <row r="4" spans="1:31" ht="19"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14.5" customHeight="1">
      <c r="B5" s="753" t="s">
        <v>15</v>
      </c>
      <c r="C5" s="753"/>
      <c r="D5" s="753"/>
      <c r="E5" s="753"/>
      <c r="F5" s="753"/>
      <c r="G5" s="753"/>
      <c r="H5" s="753"/>
      <c r="I5" s="744" t="s">
        <v>186</v>
      </c>
      <c r="J5" s="745"/>
      <c r="K5" s="745"/>
      <c r="L5" s="745"/>
      <c r="M5" s="745"/>
      <c r="N5" s="746"/>
      <c r="O5" s="759" t="str">
        <f>IF('1_Votre Structure'!$E$3="","&lt; Nom - Veuillez compléter la cellule E3 de '1_Votre Structure' &gt;",'1_Votre Structure'!$E$3)</f>
        <v>&lt; Nom - Veuillez compléter la cellule E3 de '1_Votre Structure' &gt;</v>
      </c>
      <c r="P5" s="760"/>
      <c r="Q5" s="760"/>
      <c r="R5" s="760"/>
      <c r="S5" s="760"/>
      <c r="T5" s="760"/>
      <c r="U5" s="760"/>
      <c r="V5" s="760"/>
      <c r="W5" s="760"/>
      <c r="X5" s="760"/>
      <c r="Y5" s="760"/>
      <c r="Z5" s="760"/>
      <c r="AA5" s="760"/>
      <c r="AB5" s="760"/>
      <c r="AC5" s="760"/>
      <c r="AD5" s="760"/>
      <c r="AE5" s="760"/>
    </row>
    <row r="6" spans="1:31" ht="14.5" customHeight="1">
      <c r="B6" s="754"/>
      <c r="C6" s="754"/>
      <c r="D6" s="754"/>
      <c r="E6" s="754"/>
      <c r="F6" s="754"/>
      <c r="G6" s="754"/>
      <c r="H6" s="754"/>
      <c r="I6" s="747"/>
      <c r="J6" s="748"/>
      <c r="K6" s="748"/>
      <c r="L6" s="748"/>
      <c r="M6" s="748"/>
      <c r="N6" s="749"/>
      <c r="O6" s="759"/>
      <c r="P6" s="760"/>
      <c r="Q6" s="760"/>
      <c r="R6" s="760"/>
      <c r="S6" s="760"/>
      <c r="T6" s="760"/>
      <c r="U6" s="760"/>
      <c r="V6" s="760"/>
      <c r="W6" s="760"/>
      <c r="X6" s="760"/>
      <c r="Y6" s="760"/>
      <c r="Z6" s="760"/>
      <c r="AA6" s="760"/>
      <c r="AB6" s="760"/>
      <c r="AC6" s="760"/>
      <c r="AD6" s="760"/>
      <c r="AE6" s="760"/>
    </row>
    <row r="7" spans="1:31" ht="12"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31" ht="29.15" customHeight="1">
      <c r="B8" s="6"/>
      <c r="C8" s="6"/>
      <c r="D8" s="6"/>
      <c r="E8" s="6"/>
      <c r="F8" s="6"/>
      <c r="G8" s="6"/>
      <c r="H8" s="6"/>
      <c r="I8" s="742" t="s">
        <v>16</v>
      </c>
      <c r="J8" s="742"/>
      <c r="K8" s="742"/>
      <c r="L8" s="742"/>
      <c r="M8" s="742"/>
      <c r="N8" s="742"/>
      <c r="O8" s="100"/>
      <c r="P8" s="100"/>
      <c r="Q8" s="742" t="s">
        <v>17</v>
      </c>
      <c r="R8" s="742"/>
      <c r="S8" s="742"/>
      <c r="T8" s="742"/>
      <c r="U8" s="742"/>
      <c r="V8" s="742"/>
      <c r="W8" s="6"/>
      <c r="X8" s="6"/>
      <c r="Y8" s="6"/>
      <c r="AE8" s="6"/>
    </row>
    <row r="9" spans="1:31" ht="20.25" customHeight="1">
      <c r="B9" s="6"/>
      <c r="C9" s="6"/>
      <c r="D9" s="6"/>
      <c r="E9" s="6"/>
      <c r="F9" s="6"/>
      <c r="G9" s="6"/>
      <c r="H9" s="6"/>
      <c r="I9" s="743" t="str">
        <f>IF(ISBLANK('1_Votre Structure'!$E$5),"",'1_Votre Structure'!$E$5)</f>
        <v/>
      </c>
      <c r="J9" s="743"/>
      <c r="K9" s="743"/>
      <c r="L9" s="743"/>
      <c r="M9" s="743"/>
      <c r="N9" s="743"/>
      <c r="O9" s="100"/>
      <c r="P9" s="100"/>
      <c r="Q9" s="743" t="str">
        <f>IF(ISBLANK('1_Votre Structure'!$E$6),"",'1_Votre Structure'!$E$6)</f>
        <v/>
      </c>
      <c r="R9" s="743"/>
      <c r="S9" s="743"/>
      <c r="T9" s="743"/>
      <c r="U9" s="743"/>
      <c r="V9" s="743"/>
      <c r="W9" s="6"/>
      <c r="X9" s="6"/>
      <c r="Y9" s="6"/>
      <c r="AE9" s="6"/>
    </row>
    <row r="10" spans="1:31" ht="15.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5.75" customHeight="1">
      <c r="B11" s="751"/>
      <c r="C11" s="751"/>
      <c r="D11" s="756" t="s">
        <v>187</v>
      </c>
      <c r="E11" s="756"/>
      <c r="F11" s="756"/>
      <c r="G11" s="756"/>
      <c r="H11" s="756"/>
      <c r="I11" s="756"/>
      <c r="J11" s="756"/>
      <c r="K11" s="756"/>
      <c r="L11" s="756"/>
      <c r="M11" s="756"/>
      <c r="N11" s="756"/>
      <c r="O11" s="756"/>
      <c r="P11" s="18"/>
      <c r="Q11" s="19"/>
      <c r="R11" s="19"/>
      <c r="S11" s="756" t="s">
        <v>22</v>
      </c>
      <c r="T11" s="756"/>
      <c r="U11" s="756"/>
      <c r="V11" s="756"/>
      <c r="W11" s="756"/>
      <c r="X11" s="756"/>
      <c r="Y11" s="756"/>
      <c r="Z11" s="756"/>
      <c r="AA11" s="756"/>
      <c r="AB11" s="756"/>
      <c r="AC11" s="756"/>
      <c r="AD11" s="756"/>
      <c r="AE11" s="6"/>
    </row>
    <row r="12" spans="1:31" ht="15.75" customHeight="1">
      <c r="B12" s="751"/>
      <c r="C12" s="751"/>
      <c r="D12" s="756"/>
      <c r="E12" s="756"/>
      <c r="F12" s="756"/>
      <c r="G12" s="756"/>
      <c r="H12" s="756"/>
      <c r="I12" s="756"/>
      <c r="J12" s="756"/>
      <c r="K12" s="756"/>
      <c r="L12" s="756"/>
      <c r="M12" s="756"/>
      <c r="N12" s="756"/>
      <c r="O12" s="756"/>
      <c r="P12" s="18"/>
      <c r="Q12" s="19"/>
      <c r="R12" s="19"/>
      <c r="S12" s="756"/>
      <c r="T12" s="756"/>
      <c r="U12" s="756"/>
      <c r="V12" s="756"/>
      <c r="W12" s="756"/>
      <c r="X12" s="756"/>
      <c r="Y12" s="756"/>
      <c r="Z12" s="756"/>
      <c r="AA12" s="756"/>
      <c r="AB12" s="756"/>
      <c r="AC12" s="756"/>
      <c r="AD12" s="756"/>
      <c r="AE12" s="6"/>
    </row>
    <row r="13" spans="1:31" ht="12" customHeight="1">
      <c r="B13" s="8"/>
      <c r="C13" s="6"/>
      <c r="E13" s="11"/>
      <c r="F13" s="11"/>
      <c r="G13" s="11"/>
      <c r="H13" s="11"/>
      <c r="I13" s="11"/>
      <c r="J13" s="11"/>
      <c r="K13" s="11"/>
      <c r="L13" s="11"/>
      <c r="M13" s="11"/>
      <c r="N13" s="11"/>
      <c r="O13" s="11"/>
      <c r="P13" s="11"/>
      <c r="Q13" s="8"/>
      <c r="R13" s="6"/>
      <c r="S13" s="6"/>
      <c r="T13" s="9"/>
      <c r="U13" s="9"/>
      <c r="V13" s="9"/>
      <c r="W13" s="9"/>
      <c r="X13" s="9"/>
      <c r="Y13" s="9"/>
      <c r="Z13" s="9"/>
      <c r="AE13" s="6"/>
    </row>
    <row r="14" spans="1:31" ht="23.25" customHeight="1">
      <c r="B14" s="8"/>
      <c r="C14" s="6"/>
      <c r="D14" s="757" t="s">
        <v>188</v>
      </c>
      <c r="E14" s="757"/>
      <c r="F14" s="757"/>
      <c r="G14" s="757"/>
      <c r="H14" s="757"/>
      <c r="I14" s="757"/>
      <c r="J14" s="757"/>
      <c r="K14" s="757"/>
      <c r="L14" s="33"/>
      <c r="M14" s="755" t="str">
        <f>IF('1_Votre Structure'!$E$8="","nc.",'1_Votre Structure'!$E$8)</f>
        <v>nc.</v>
      </c>
      <c r="N14" s="755"/>
      <c r="O14" s="755"/>
      <c r="P14" s="10"/>
      <c r="Q14" s="8"/>
      <c r="R14" s="6"/>
      <c r="S14" s="761" t="str">
        <f>IF('1_Votre Structure'!$E$17="","&lt; Complétez la cellule E18 de '1_Votre Structure'&gt;",'1_Votre Structure'!$E$17)</f>
        <v>&lt; Complétez la cellule E18 de '1_Votre Structure'&gt;</v>
      </c>
      <c r="T14" s="761"/>
      <c r="U14" s="761"/>
      <c r="V14" s="761"/>
      <c r="W14" s="761"/>
      <c r="X14" s="761"/>
      <c r="Y14" s="761"/>
      <c r="Z14" s="761"/>
      <c r="AA14" s="761"/>
      <c r="AB14" s="761"/>
      <c r="AC14" s="761"/>
      <c r="AD14" s="761"/>
      <c r="AE14" s="6"/>
    </row>
    <row r="15" spans="1:31" ht="9.5" customHeight="1">
      <c r="B15" s="8"/>
      <c r="C15" s="6"/>
      <c r="D15" s="33"/>
      <c r="E15" s="33"/>
      <c r="F15" s="33"/>
      <c r="G15" s="33"/>
      <c r="H15" s="33"/>
      <c r="I15" s="33"/>
      <c r="J15" s="33"/>
      <c r="K15" s="33"/>
      <c r="L15" s="33"/>
      <c r="M15" s="33"/>
      <c r="N15" s="33"/>
      <c r="O15" s="33"/>
      <c r="P15" s="10"/>
      <c r="Q15" s="8"/>
      <c r="R15" s="6"/>
      <c r="S15" s="761"/>
      <c r="T15" s="761"/>
      <c r="U15" s="761"/>
      <c r="V15" s="761"/>
      <c r="W15" s="761"/>
      <c r="X15" s="761"/>
      <c r="Y15" s="761"/>
      <c r="Z15" s="761"/>
      <c r="AA15" s="761"/>
      <c r="AB15" s="761"/>
      <c r="AC15" s="761"/>
      <c r="AD15" s="761"/>
      <c r="AE15" s="6"/>
    </row>
    <row r="16" spans="1:31" ht="23.25" customHeight="1">
      <c r="B16" s="8"/>
      <c r="C16" s="6"/>
      <c r="D16" s="757" t="s">
        <v>189</v>
      </c>
      <c r="E16" s="757"/>
      <c r="F16" s="757"/>
      <c r="G16" s="757"/>
      <c r="H16" s="757"/>
      <c r="I16" s="757"/>
      <c r="J16" s="757"/>
      <c r="K16" s="757"/>
      <c r="L16" s="33"/>
      <c r="M16" s="755" t="str">
        <f>IF('1_Votre Structure'!$E$9="","nc.",'1_Votre Structure'!$E$9)</f>
        <v>nc.</v>
      </c>
      <c r="N16" s="755"/>
      <c r="O16" s="755"/>
      <c r="P16" s="10"/>
      <c r="Q16" s="8"/>
      <c r="R16" s="6"/>
      <c r="S16" s="761"/>
      <c r="T16" s="761"/>
      <c r="U16" s="761"/>
      <c r="V16" s="761"/>
      <c r="W16" s="761"/>
      <c r="X16" s="761"/>
      <c r="Y16" s="761"/>
      <c r="Z16" s="761"/>
      <c r="AA16" s="761"/>
      <c r="AB16" s="761"/>
      <c r="AC16" s="761"/>
      <c r="AD16" s="761"/>
      <c r="AE16" s="6"/>
    </row>
    <row r="17" spans="2:31" ht="9.5" customHeight="1">
      <c r="B17" s="8"/>
      <c r="C17" s="6"/>
      <c r="D17" s="34"/>
      <c r="E17" s="34"/>
      <c r="F17" s="34"/>
      <c r="G17" s="34"/>
      <c r="H17" s="34"/>
      <c r="I17" s="34"/>
      <c r="J17" s="34"/>
      <c r="K17" s="34"/>
      <c r="L17" s="34"/>
      <c r="M17" s="34"/>
      <c r="N17" s="34"/>
      <c r="O17" s="34"/>
      <c r="P17" s="12"/>
      <c r="Q17" s="8"/>
      <c r="R17" s="6"/>
      <c r="S17" s="761"/>
      <c r="T17" s="761"/>
      <c r="U17" s="761"/>
      <c r="V17" s="761"/>
      <c r="W17" s="761"/>
      <c r="X17" s="761"/>
      <c r="Y17" s="761"/>
      <c r="Z17" s="761"/>
      <c r="AA17" s="761"/>
      <c r="AB17" s="761"/>
      <c r="AC17" s="761"/>
      <c r="AD17" s="761"/>
      <c r="AE17" s="6"/>
    </row>
    <row r="18" spans="2:31" ht="23.25" customHeight="1">
      <c r="B18" s="8"/>
      <c r="C18" s="6"/>
      <c r="D18" s="757" t="s">
        <v>3594</v>
      </c>
      <c r="E18" s="757"/>
      <c r="F18" s="757"/>
      <c r="G18" s="757"/>
      <c r="H18" s="757"/>
      <c r="I18" s="757"/>
      <c r="J18" s="757"/>
      <c r="K18" s="757"/>
      <c r="L18" s="33"/>
      <c r="M18" s="755" t="str">
        <f>IF('1_Votre Structure'!$E$13="","nc.",'1_Votre Structure'!$E$13)</f>
        <v>nc.</v>
      </c>
      <c r="N18" s="755"/>
      <c r="O18" s="755"/>
      <c r="P18" s="11"/>
      <c r="Q18" s="8"/>
      <c r="R18" s="6"/>
      <c r="S18" s="761"/>
      <c r="T18" s="761"/>
      <c r="U18" s="761"/>
      <c r="V18" s="761"/>
      <c r="W18" s="761"/>
      <c r="X18" s="761"/>
      <c r="Y18" s="761"/>
      <c r="Z18" s="761"/>
      <c r="AA18" s="761"/>
      <c r="AB18" s="761"/>
      <c r="AC18" s="761"/>
      <c r="AD18" s="761"/>
      <c r="AE18" s="6"/>
    </row>
    <row r="19" spans="2:31" ht="9.5" customHeight="1">
      <c r="B19" s="8"/>
      <c r="C19" s="6"/>
      <c r="D19" s="33"/>
      <c r="E19" s="33"/>
      <c r="F19" s="33"/>
      <c r="G19" s="33"/>
      <c r="H19" s="33"/>
      <c r="I19" s="33"/>
      <c r="J19" s="33"/>
      <c r="K19" s="33"/>
      <c r="L19" s="33"/>
      <c r="M19" s="33"/>
      <c r="N19" s="33"/>
      <c r="O19" s="33"/>
      <c r="P19" s="10"/>
      <c r="Q19" s="8"/>
      <c r="R19" s="6"/>
      <c r="S19" s="761"/>
      <c r="T19" s="761"/>
      <c r="U19" s="761"/>
      <c r="V19" s="761"/>
      <c r="W19" s="761"/>
      <c r="X19" s="761"/>
      <c r="Y19" s="761"/>
      <c r="Z19" s="761"/>
      <c r="AA19" s="761"/>
      <c r="AB19" s="761"/>
      <c r="AC19" s="761"/>
      <c r="AD19" s="761"/>
      <c r="AE19" s="6"/>
    </row>
    <row r="20" spans="2:31" ht="16" customHeight="1">
      <c r="B20" s="8"/>
      <c r="C20" s="6"/>
      <c r="D20" s="758" t="s">
        <v>190</v>
      </c>
      <c r="E20" s="758"/>
      <c r="F20" s="758"/>
      <c r="G20" s="758"/>
      <c r="H20" s="758"/>
      <c r="I20" s="758"/>
      <c r="J20" s="758"/>
      <c r="K20" s="758"/>
      <c r="L20" s="758"/>
      <c r="M20" s="758"/>
      <c r="N20" s="758"/>
      <c r="O20" s="20"/>
      <c r="P20" s="12"/>
      <c r="Q20" s="8"/>
      <c r="R20" s="6"/>
      <c r="S20" s="761"/>
      <c r="T20" s="761"/>
      <c r="U20" s="761"/>
      <c r="V20" s="761"/>
      <c r="W20" s="761"/>
      <c r="X20" s="761"/>
      <c r="Y20" s="761"/>
      <c r="Z20" s="761"/>
      <c r="AA20" s="761"/>
      <c r="AB20" s="761"/>
      <c r="AC20" s="761"/>
      <c r="AD20" s="761"/>
      <c r="AE20" s="6"/>
    </row>
    <row r="21" spans="2:31" ht="9.9" customHeight="1">
      <c r="B21" s="6"/>
      <c r="C21" s="6"/>
      <c r="D21" s="6"/>
      <c r="E21" s="6"/>
      <c r="F21" s="6"/>
      <c r="G21" s="6"/>
      <c r="H21" s="6"/>
      <c r="I21" s="6"/>
      <c r="J21" s="6"/>
      <c r="K21" s="6"/>
      <c r="L21" s="6"/>
      <c r="M21" s="6"/>
      <c r="N21" s="6"/>
      <c r="O21" s="6"/>
      <c r="P21" s="6"/>
      <c r="Q21" s="6"/>
      <c r="R21" s="6"/>
      <c r="S21" s="6"/>
      <c r="T21" s="6"/>
      <c r="U21" s="6"/>
      <c r="V21" s="6"/>
      <c r="W21" s="6"/>
      <c r="X21" s="6"/>
      <c r="Y21" s="6"/>
      <c r="Z21" s="6"/>
      <c r="AE21" s="6"/>
    </row>
    <row r="22" spans="2:31" ht="15.75" customHeight="1">
      <c r="B22" s="751"/>
      <c r="C22" s="751"/>
      <c r="D22" s="752" t="s">
        <v>191</v>
      </c>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6"/>
    </row>
    <row r="23" spans="2:31" ht="15.75" customHeight="1">
      <c r="B23" s="751"/>
      <c r="C23" s="751"/>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6"/>
    </row>
    <row r="24" spans="2:31" ht="18" customHeight="1">
      <c r="B24" s="8"/>
      <c r="C24" s="13"/>
      <c r="D24" s="750" t="s">
        <v>3593</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14"/>
      <c r="AE24" s="6"/>
    </row>
    <row r="25" spans="2:31" s="26" customFormat="1" ht="23.25" customHeight="1">
      <c r="B25" s="22"/>
      <c r="C25" s="23"/>
      <c r="D25" s="738" t="str">
        <f>'Tableau de Synthèse'!C4</f>
        <v>Consommation d'énergie et d'eau</v>
      </c>
      <c r="E25" s="738"/>
      <c r="F25" s="738"/>
      <c r="G25" s="738"/>
      <c r="H25" s="738"/>
      <c r="I25" s="738"/>
      <c r="J25" s="738"/>
      <c r="K25" s="739"/>
      <c r="L25" s="739"/>
      <c r="M25" s="739"/>
      <c r="N25" s="739"/>
      <c r="O25" s="739"/>
      <c r="P25" s="739"/>
      <c r="Q25" s="24"/>
      <c r="R25" s="738" t="str">
        <f>'Tableau de Synthèse'!C14</f>
        <v>Equipements</v>
      </c>
      <c r="S25" s="738"/>
      <c r="T25" s="738"/>
      <c r="U25" s="738"/>
      <c r="V25" s="738"/>
      <c r="W25" s="738"/>
      <c r="X25" s="738"/>
      <c r="Y25" s="739"/>
      <c r="Z25" s="739"/>
      <c r="AA25" s="739"/>
      <c r="AB25" s="739"/>
      <c r="AC25" s="739"/>
      <c r="AD25" s="739"/>
      <c r="AE25" s="25"/>
    </row>
    <row r="26" spans="2:31" s="26" customFormat="1" ht="5.25" customHeight="1">
      <c r="B26" s="22"/>
      <c r="C26" s="23"/>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5"/>
    </row>
    <row r="27" spans="2:31" s="26" customFormat="1" ht="23.25" customHeight="1">
      <c r="B27" s="22"/>
      <c r="C27" s="23"/>
      <c r="D27" s="738" t="str">
        <f>'Tableau de Synthèse'!C5</f>
        <v>Climatisation</v>
      </c>
      <c r="E27" s="738"/>
      <c r="F27" s="738"/>
      <c r="G27" s="738"/>
      <c r="H27" s="738"/>
      <c r="I27" s="738"/>
      <c r="J27" s="738"/>
      <c r="K27" s="739"/>
      <c r="L27" s="739"/>
      <c r="M27" s="739"/>
      <c r="N27" s="739"/>
      <c r="O27" s="739"/>
      <c r="P27" s="739"/>
      <c r="Q27" s="24"/>
      <c r="R27" s="738" t="str">
        <f>'Tableau de Synthèse'!C15</f>
        <v>Achats - Documents papiers</v>
      </c>
      <c r="S27" s="738"/>
      <c r="T27" s="738"/>
      <c r="U27" s="738"/>
      <c r="V27" s="738"/>
      <c r="W27" s="738"/>
      <c r="X27" s="738"/>
      <c r="Y27" s="739"/>
      <c r="Z27" s="739"/>
      <c r="AA27" s="739"/>
      <c r="AB27" s="739"/>
      <c r="AC27" s="739"/>
      <c r="AD27" s="739"/>
      <c r="AE27" s="25"/>
    </row>
    <row r="28" spans="2:31" s="26" customFormat="1" ht="5.25" customHeight="1">
      <c r="B28" s="22"/>
      <c r="C28" s="23"/>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5"/>
    </row>
    <row r="29" spans="2:31" s="26" customFormat="1" ht="23.25" customHeight="1">
      <c r="B29" s="22"/>
      <c r="C29" s="23"/>
      <c r="D29" s="738" t="str">
        <f>'Tableau de Synthèse'!C6</f>
        <v>Bâtiments, travaux et agencements</v>
      </c>
      <c r="E29" s="738"/>
      <c r="F29" s="738"/>
      <c r="G29" s="738"/>
      <c r="H29" s="738"/>
      <c r="I29" s="738"/>
      <c r="J29" s="738"/>
      <c r="K29" s="739"/>
      <c r="L29" s="739"/>
      <c r="M29" s="739"/>
      <c r="N29" s="739"/>
      <c r="O29" s="739"/>
      <c r="P29" s="739"/>
      <c r="Q29" s="24"/>
      <c r="R29" s="738" t="str">
        <f>'Tableau de Synthèse'!C16</f>
        <v>Décors</v>
      </c>
      <c r="S29" s="738"/>
      <c r="T29" s="738"/>
      <c r="U29" s="738"/>
      <c r="V29" s="738"/>
      <c r="W29" s="738"/>
      <c r="X29" s="738"/>
      <c r="Y29" s="739"/>
      <c r="Z29" s="739"/>
      <c r="AA29" s="739"/>
      <c r="AB29" s="739"/>
      <c r="AC29" s="739"/>
      <c r="AD29" s="739"/>
      <c r="AE29" s="25"/>
    </row>
    <row r="30" spans="2:31" s="26" customFormat="1" ht="5.25" customHeight="1">
      <c r="B30" s="22"/>
      <c r="C30" s="23"/>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5"/>
    </row>
    <row r="31" spans="2:31" s="26" customFormat="1" ht="23.25" customHeight="1">
      <c r="B31" s="22"/>
      <c r="C31" s="23"/>
      <c r="D31" s="738" t="str">
        <f>'Tableau de Synthèse'!C7</f>
        <v>Déchets</v>
      </c>
      <c r="E31" s="738"/>
      <c r="F31" s="738"/>
      <c r="G31" s="738"/>
      <c r="H31" s="738"/>
      <c r="I31" s="738"/>
      <c r="J31" s="738"/>
      <c r="K31" s="739"/>
      <c r="L31" s="739"/>
      <c r="M31" s="739"/>
      <c r="N31" s="739"/>
      <c r="O31" s="739"/>
      <c r="P31" s="739"/>
      <c r="Q31" s="24"/>
      <c r="R31" s="738" t="str">
        <f>'Tableau de Synthèse'!C17</f>
        <v>Alimentation</v>
      </c>
      <c r="S31" s="738"/>
      <c r="T31" s="738"/>
      <c r="U31" s="738"/>
      <c r="V31" s="738"/>
      <c r="W31" s="738"/>
      <c r="X31" s="738"/>
      <c r="Y31" s="739"/>
      <c r="Z31" s="739"/>
      <c r="AA31" s="739"/>
      <c r="AB31" s="739"/>
      <c r="AC31" s="739"/>
      <c r="AD31" s="739"/>
      <c r="AE31" s="25"/>
    </row>
    <row r="32" spans="2:31" s="26" customFormat="1" ht="5.25" customHeight="1">
      <c r="B32" s="22"/>
      <c r="C32" s="2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5"/>
    </row>
    <row r="33" spans="2:31" s="26" customFormat="1" ht="23.25" customHeight="1">
      <c r="B33" s="22"/>
      <c r="C33" s="23"/>
      <c r="D33" s="738" t="str">
        <f>'Tableau de Synthèse'!C8</f>
        <v>Déplacements liés à des prestations</v>
      </c>
      <c r="E33" s="738"/>
      <c r="F33" s="738"/>
      <c r="G33" s="738"/>
      <c r="H33" s="738"/>
      <c r="I33" s="738"/>
      <c r="J33" s="738"/>
      <c r="K33" s="739"/>
      <c r="L33" s="739"/>
      <c r="M33" s="739"/>
      <c r="N33" s="739"/>
      <c r="O33" s="739"/>
      <c r="P33" s="739"/>
      <c r="Q33" s="24"/>
      <c r="R33" s="738" t="str">
        <f>'Tableau de Synthèse'!C18</f>
        <v>Autres achats</v>
      </c>
      <c r="S33" s="738"/>
      <c r="T33" s="738"/>
      <c r="U33" s="738"/>
      <c r="V33" s="738"/>
      <c r="W33" s="738"/>
      <c r="X33" s="738"/>
      <c r="Y33" s="739"/>
      <c r="Z33" s="739"/>
      <c r="AA33" s="739"/>
      <c r="AB33" s="739"/>
      <c r="AC33" s="739"/>
      <c r="AD33" s="739"/>
      <c r="AE33" s="25"/>
    </row>
    <row r="34" spans="2:31" s="29" customFormat="1" ht="5.25" customHeight="1">
      <c r="B34" s="27"/>
      <c r="C34" s="28"/>
      <c r="E34" s="30"/>
      <c r="F34" s="30"/>
      <c r="H34" s="30"/>
      <c r="I34" s="30"/>
      <c r="K34" s="30"/>
      <c r="M34" s="30"/>
      <c r="N34" s="30"/>
      <c r="O34" s="30"/>
      <c r="P34" s="30"/>
      <c r="Q34" s="30"/>
      <c r="R34" s="30"/>
      <c r="S34" s="30"/>
      <c r="T34" s="30"/>
      <c r="U34" s="30"/>
      <c r="V34" s="30"/>
      <c r="W34" s="30"/>
      <c r="X34" s="30"/>
      <c r="Y34" s="30"/>
      <c r="Z34" s="30"/>
      <c r="AA34" s="30"/>
      <c r="AB34" s="30"/>
      <c r="AC34" s="30"/>
      <c r="AD34" s="30"/>
      <c r="AE34" s="31"/>
    </row>
    <row r="35" spans="2:31" s="26" customFormat="1" ht="23.25" customHeight="1">
      <c r="B35" s="22"/>
      <c r="C35" s="23"/>
      <c r="D35" s="738" t="str">
        <f>'Tableau de Synthèse'!C9</f>
        <v>Déplacements professionnels</v>
      </c>
      <c r="E35" s="738"/>
      <c r="F35" s="738"/>
      <c r="G35" s="738"/>
      <c r="H35" s="738"/>
      <c r="I35" s="738"/>
      <c r="J35" s="738"/>
      <c r="K35" s="739"/>
      <c r="L35" s="739"/>
      <c r="M35" s="739"/>
      <c r="N35" s="739"/>
      <c r="O35" s="739"/>
      <c r="P35" s="739"/>
      <c r="Q35" s="24"/>
      <c r="R35" s="738" t="str">
        <f>'Tableau de Synthèse'!C19</f>
        <v>Transport de matériel et d'œuvres</v>
      </c>
      <c r="S35" s="738"/>
      <c r="T35" s="738"/>
      <c r="U35" s="738"/>
      <c r="V35" s="738"/>
      <c r="W35" s="738"/>
      <c r="X35" s="738"/>
      <c r="Y35" s="739"/>
      <c r="Z35" s="739"/>
      <c r="AA35" s="739"/>
      <c r="AB35" s="739"/>
      <c r="AC35" s="739"/>
      <c r="AD35" s="739"/>
      <c r="AE35" s="25"/>
    </row>
    <row r="36" spans="2:31" s="29" customFormat="1" ht="5.25" customHeight="1">
      <c r="B36" s="27"/>
      <c r="C36" s="28"/>
      <c r="E36" s="30"/>
      <c r="F36" s="30"/>
      <c r="H36" s="30"/>
      <c r="I36" s="30"/>
      <c r="K36" s="30"/>
      <c r="L36" s="30"/>
      <c r="M36" s="30"/>
      <c r="N36" s="30"/>
      <c r="O36" s="30"/>
      <c r="P36" s="30"/>
      <c r="Q36" s="30"/>
      <c r="R36" s="738"/>
      <c r="S36" s="738"/>
      <c r="T36" s="738"/>
      <c r="U36" s="738"/>
      <c r="V36" s="738"/>
      <c r="W36" s="738"/>
      <c r="X36" s="738"/>
      <c r="Y36" s="30"/>
      <c r="Z36" s="30"/>
      <c r="AA36" s="30"/>
      <c r="AB36" s="30"/>
      <c r="AC36" s="30"/>
      <c r="AD36" s="30"/>
      <c r="AE36" s="31"/>
    </row>
    <row r="37" spans="2:31" s="26" customFormat="1" ht="23.25" customHeight="1">
      <c r="B37" s="22"/>
      <c r="C37" s="23"/>
      <c r="D37" s="738" t="str">
        <f>'Tableau de Synthèse'!C10</f>
        <v>Déplacement des salariés</v>
      </c>
      <c r="E37" s="738"/>
      <c r="F37" s="738"/>
      <c r="G37" s="738"/>
      <c r="H37" s="738"/>
      <c r="I37" s="738"/>
      <c r="J37" s="738"/>
      <c r="K37" s="739"/>
      <c r="L37" s="739"/>
      <c r="M37" s="739"/>
      <c r="N37" s="739"/>
      <c r="O37" s="739"/>
      <c r="P37" s="739"/>
      <c r="Q37" s="24"/>
      <c r="R37" s="738" t="str">
        <f>'Tableau de Synthèse'!C20</f>
        <v>Impression et communication papier</v>
      </c>
      <c r="S37" s="738"/>
      <c r="T37" s="738"/>
      <c r="U37" s="738"/>
      <c r="V37" s="738"/>
      <c r="W37" s="738"/>
      <c r="X37" s="738"/>
      <c r="Y37" s="739"/>
      <c r="Z37" s="739"/>
      <c r="AA37" s="739"/>
      <c r="AB37" s="739"/>
      <c r="AC37" s="739"/>
      <c r="AD37" s="739"/>
      <c r="AE37" s="25"/>
    </row>
    <row r="38" spans="2:31" ht="5.25" customHeight="1">
      <c r="B38" s="8"/>
      <c r="C38" s="13"/>
      <c r="D38" s="29"/>
      <c r="E38" s="30"/>
      <c r="F38" s="30"/>
      <c r="G38" s="29"/>
      <c r="H38" s="30"/>
      <c r="I38" s="30"/>
      <c r="J38" s="29"/>
      <c r="K38" s="30"/>
      <c r="L38" s="30"/>
      <c r="M38" s="30"/>
      <c r="N38" s="30"/>
      <c r="O38" s="30"/>
      <c r="P38" s="30"/>
      <c r="Q38" s="30"/>
      <c r="R38" s="738"/>
      <c r="S38" s="738"/>
      <c r="T38" s="738"/>
      <c r="U38" s="738"/>
      <c r="V38" s="738"/>
      <c r="W38" s="738"/>
      <c r="X38" s="738"/>
      <c r="Y38" s="30"/>
      <c r="Z38" s="30"/>
      <c r="AA38" s="30"/>
      <c r="AB38" s="30"/>
      <c r="AC38" s="30"/>
      <c r="AD38" s="30"/>
      <c r="AE38" s="6"/>
    </row>
    <row r="39" spans="2:31" ht="23.25" customHeight="1">
      <c r="B39" s="8"/>
      <c r="C39" s="14"/>
      <c r="D39" s="738" t="str">
        <f>'Tableau de Synthèse'!C11</f>
        <v>Déplacements des visiteurs</v>
      </c>
      <c r="E39" s="738"/>
      <c r="F39" s="738"/>
      <c r="G39" s="738"/>
      <c r="H39" s="738"/>
      <c r="I39" s="738"/>
      <c r="J39" s="738"/>
      <c r="K39" s="739"/>
      <c r="L39" s="739"/>
      <c r="M39" s="739"/>
      <c r="N39" s="739"/>
      <c r="O39" s="739"/>
      <c r="P39" s="739"/>
      <c r="Q39" s="24"/>
      <c r="R39" s="738" t="str">
        <f>'Tableau de Synthèse'!C21</f>
        <v>Communication digitale</v>
      </c>
      <c r="S39" s="738"/>
      <c r="T39" s="738"/>
      <c r="U39" s="738"/>
      <c r="V39" s="738"/>
      <c r="W39" s="738"/>
      <c r="X39" s="738"/>
      <c r="Y39" s="739"/>
      <c r="Z39" s="739"/>
      <c r="AA39" s="739"/>
      <c r="AB39" s="739"/>
      <c r="AC39" s="739"/>
      <c r="AD39" s="739"/>
      <c r="AE39" s="6"/>
    </row>
    <row r="40" spans="2:31" ht="4.6500000000000004" customHeight="1">
      <c r="B40" s="8"/>
      <c r="C40" s="14"/>
      <c r="D40" s="29"/>
      <c r="E40" s="30"/>
      <c r="F40" s="30"/>
      <c r="G40" s="29"/>
      <c r="H40" s="30"/>
      <c r="I40" s="30"/>
      <c r="J40" s="29"/>
      <c r="K40" s="30"/>
      <c r="L40" s="30"/>
      <c r="M40" s="30"/>
      <c r="N40" s="30"/>
      <c r="O40" s="30"/>
      <c r="P40" s="30"/>
      <c r="Q40" s="30"/>
      <c r="R40" s="738"/>
      <c r="S40" s="738"/>
      <c r="T40" s="738"/>
      <c r="U40" s="738"/>
      <c r="V40" s="738"/>
      <c r="W40" s="738"/>
      <c r="X40" s="738"/>
      <c r="Y40" s="30"/>
      <c r="Z40" s="30"/>
      <c r="AA40" s="30"/>
      <c r="AB40" s="30"/>
      <c r="AC40" s="30"/>
      <c r="AD40" s="30"/>
      <c r="AE40" s="6"/>
    </row>
    <row r="41" spans="2:31" ht="23.25" customHeight="1">
      <c r="B41" s="8"/>
      <c r="C41" s="14"/>
      <c r="D41" s="738" t="str">
        <f>'Tableau de Synthèse'!C12</f>
        <v>Tournées artistiques</v>
      </c>
      <c r="E41" s="738"/>
      <c r="F41" s="738"/>
      <c r="G41" s="738"/>
      <c r="H41" s="738"/>
      <c r="I41" s="738"/>
      <c r="J41" s="738"/>
      <c r="K41" s="358"/>
      <c r="L41" s="358"/>
      <c r="M41" s="358"/>
      <c r="N41" s="358"/>
      <c r="O41" s="358"/>
      <c r="P41" s="358"/>
      <c r="Q41" s="24"/>
      <c r="R41" s="738" t="str">
        <f>'Tableau de Synthèse'!C22</f>
        <v>Billetterie</v>
      </c>
      <c r="S41" s="738"/>
      <c r="T41" s="738"/>
      <c r="U41" s="738"/>
      <c r="V41" s="738"/>
      <c r="W41" s="738"/>
      <c r="X41" s="738"/>
      <c r="Y41" s="358"/>
      <c r="Z41" s="358"/>
      <c r="AA41" s="358"/>
      <c r="AB41" s="358"/>
      <c r="AC41" s="358"/>
      <c r="AD41" s="358"/>
      <c r="AE41" s="6"/>
    </row>
    <row r="42" spans="2:31" ht="4.6500000000000004" customHeight="1">
      <c r="B42" s="8"/>
      <c r="C42" s="14"/>
      <c r="D42" s="29"/>
      <c r="E42" s="30"/>
      <c r="F42" s="30"/>
      <c r="G42" s="29"/>
      <c r="H42" s="30"/>
      <c r="I42" s="30"/>
      <c r="J42" s="29"/>
      <c r="K42" s="30"/>
      <c r="L42" s="30"/>
      <c r="M42" s="30"/>
      <c r="N42" s="30"/>
      <c r="O42" s="30"/>
      <c r="P42" s="30"/>
      <c r="Q42" s="30"/>
      <c r="R42" s="24"/>
      <c r="S42" s="24"/>
      <c r="T42" s="24"/>
      <c r="U42" s="24"/>
      <c r="V42" s="24"/>
      <c r="W42" s="24"/>
      <c r="X42" s="24"/>
      <c r="Y42" s="30"/>
      <c r="Z42" s="30"/>
      <c r="AA42" s="30"/>
      <c r="AB42" s="30"/>
      <c r="AC42" s="30"/>
      <c r="AD42" s="30"/>
      <c r="AE42" s="6"/>
    </row>
    <row r="43" spans="2:31" ht="23.25" customHeight="1">
      <c r="B43" s="8"/>
      <c r="C43" s="14"/>
      <c r="D43" s="738" t="str">
        <f>'Tableau de Synthèse'!C13</f>
        <v>Artistes invité.e.s</v>
      </c>
      <c r="E43" s="738"/>
      <c r="F43" s="738"/>
      <c r="G43" s="738"/>
      <c r="H43" s="738"/>
      <c r="I43" s="738"/>
      <c r="J43" s="738"/>
      <c r="K43" s="358"/>
      <c r="L43" s="358"/>
      <c r="M43" s="358"/>
      <c r="N43" s="358"/>
      <c r="O43" s="358"/>
      <c r="P43" s="358"/>
      <c r="Q43" s="24"/>
      <c r="R43" s="738"/>
      <c r="S43" s="738"/>
      <c r="T43" s="738"/>
      <c r="U43" s="738"/>
      <c r="V43" s="738"/>
      <c r="W43" s="738"/>
      <c r="X43" s="738"/>
      <c r="Y43" s="30"/>
      <c r="Z43" s="30"/>
      <c r="AA43" s="30"/>
      <c r="AB43" s="30"/>
      <c r="AC43" s="30"/>
      <c r="AD43" s="30"/>
      <c r="AE43" s="6"/>
    </row>
    <row r="44" spans="2:31" ht="7.5" customHeight="1">
      <c r="B44" s="8"/>
      <c r="C44" s="6"/>
      <c r="D44" s="6"/>
      <c r="E44" s="6"/>
      <c r="F44" s="6"/>
      <c r="G44" s="6"/>
      <c r="H44" s="6"/>
      <c r="I44" s="6"/>
      <c r="J44" s="6"/>
      <c r="K44" s="6"/>
      <c r="L44" s="6"/>
      <c r="M44" s="6"/>
      <c r="N44" s="6"/>
      <c r="O44" s="6"/>
      <c r="P44" s="6"/>
      <c r="Q44" s="6"/>
      <c r="R44" s="6"/>
      <c r="S44" s="6"/>
      <c r="T44" s="6"/>
      <c r="U44" s="6"/>
      <c r="V44" s="6"/>
      <c r="W44" s="6"/>
      <c r="X44" s="6"/>
      <c r="Y44" s="6"/>
      <c r="Z44" s="6"/>
      <c r="AE44" s="6"/>
    </row>
    <row r="45" spans="2:31" ht="85.5" customHeight="1">
      <c r="B45" s="8"/>
      <c r="C45" s="6"/>
      <c r="D45" s="725" t="s">
        <v>192</v>
      </c>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c r="AD45" s="727"/>
      <c r="AE45" s="6"/>
    </row>
    <row r="46" spans="2:31" ht="18.7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8" spans="2:31" ht="14.25" customHeight="1">
      <c r="B48" s="17"/>
      <c r="C48" s="17"/>
      <c r="D48" s="763" t="s">
        <v>193</v>
      </c>
      <c r="E48" s="763"/>
      <c r="F48" s="763"/>
      <c r="G48" s="763"/>
      <c r="H48" s="763"/>
      <c r="I48" s="763"/>
      <c r="J48" s="763"/>
      <c r="K48" s="763"/>
      <c r="L48" s="763"/>
      <c r="M48" s="763"/>
      <c r="N48" s="763"/>
      <c r="O48" s="763"/>
      <c r="P48" s="763"/>
      <c r="Q48" s="763"/>
      <c r="R48" s="763"/>
      <c r="S48" s="32"/>
      <c r="T48" s="764">
        <f>'Tableau de Synthèse'!$E$23</f>
        <v>0</v>
      </c>
      <c r="U48" s="764"/>
      <c r="V48" s="764"/>
      <c r="W48" s="764"/>
      <c r="X48" s="764"/>
      <c r="Y48" s="764"/>
      <c r="Z48" s="765" t="s">
        <v>194</v>
      </c>
      <c r="AA48" s="765"/>
      <c r="AB48" s="765"/>
      <c r="AD48" s="32"/>
      <c r="AE48" s="32"/>
    </row>
    <row r="49" spans="2:31" ht="14.25" customHeight="1">
      <c r="B49" s="17"/>
      <c r="C49" s="17"/>
      <c r="D49" s="763"/>
      <c r="E49" s="763"/>
      <c r="F49" s="763"/>
      <c r="G49" s="763"/>
      <c r="H49" s="763"/>
      <c r="I49" s="763"/>
      <c r="J49" s="763"/>
      <c r="K49" s="763"/>
      <c r="L49" s="763"/>
      <c r="M49" s="763"/>
      <c r="N49" s="763"/>
      <c r="O49" s="763"/>
      <c r="P49" s="763"/>
      <c r="Q49" s="763"/>
      <c r="R49" s="763"/>
      <c r="S49" s="32"/>
      <c r="T49" s="764"/>
      <c r="U49" s="764"/>
      <c r="V49" s="764"/>
      <c r="W49" s="764"/>
      <c r="X49" s="764"/>
      <c r="Y49" s="764"/>
      <c r="Z49" s="765"/>
      <c r="AA49" s="765"/>
      <c r="AB49" s="765"/>
      <c r="AD49" s="32"/>
      <c r="AE49" s="32"/>
    </row>
    <row r="50" spans="2:31" ht="22">
      <c r="B50" s="8"/>
      <c r="C50" s="6"/>
      <c r="F50" s="11"/>
      <c r="G50" s="11"/>
      <c r="H50" s="11"/>
      <c r="I50" s="11"/>
      <c r="J50" s="11"/>
      <c r="K50" s="11"/>
      <c r="L50" s="11"/>
      <c r="M50" s="11"/>
      <c r="N50" s="11"/>
      <c r="O50" s="11"/>
      <c r="P50" s="11"/>
      <c r="Q50" s="11"/>
    </row>
    <row r="51" spans="2:31" ht="22">
      <c r="B51" s="8"/>
      <c r="C51" s="6"/>
      <c r="F51" s="11"/>
      <c r="G51" s="11"/>
      <c r="H51" s="11"/>
      <c r="I51" s="11"/>
      <c r="J51" s="11"/>
      <c r="K51" s="11"/>
      <c r="L51" s="11"/>
      <c r="M51" s="11"/>
      <c r="N51" s="11"/>
      <c r="O51" s="11"/>
      <c r="P51" s="11"/>
      <c r="Q51" s="11"/>
    </row>
    <row r="52" spans="2:31" ht="22">
      <c r="B52" s="8"/>
      <c r="C52" s="6"/>
      <c r="F52" s="11"/>
      <c r="G52" s="11"/>
      <c r="H52" s="11"/>
      <c r="I52" s="11"/>
      <c r="J52" s="11"/>
      <c r="K52" s="11"/>
      <c r="L52" s="11"/>
      <c r="M52" s="11"/>
      <c r="N52" s="11"/>
      <c r="O52" s="11"/>
      <c r="P52" s="11"/>
      <c r="Q52" s="11"/>
    </row>
    <row r="53" spans="2:31" ht="22">
      <c r="B53" s="8"/>
      <c r="C53" s="6"/>
      <c r="F53" s="11"/>
      <c r="G53" s="11"/>
      <c r="H53" s="11"/>
      <c r="I53" s="11"/>
      <c r="J53" s="11"/>
      <c r="K53" s="11"/>
      <c r="L53" s="11"/>
      <c r="M53" s="11"/>
      <c r="N53" s="11"/>
      <c r="O53" s="11"/>
      <c r="P53" s="11"/>
      <c r="Q53" s="11"/>
    </row>
    <row r="54" spans="2:31" ht="22">
      <c r="B54" s="8"/>
      <c r="C54" s="6"/>
      <c r="F54" s="11"/>
      <c r="G54" s="11"/>
      <c r="H54" s="11"/>
      <c r="I54" s="11"/>
      <c r="J54" s="11"/>
      <c r="K54" s="11"/>
      <c r="L54" s="11"/>
      <c r="M54" s="11"/>
      <c r="N54" s="11"/>
      <c r="O54" s="11"/>
      <c r="P54" s="11"/>
      <c r="Q54" s="11"/>
    </row>
    <row r="55" spans="2:31" ht="22">
      <c r="B55" s="8"/>
      <c r="C55" s="6"/>
      <c r="F55" s="11"/>
      <c r="G55" s="11"/>
      <c r="H55" s="11"/>
      <c r="I55" s="11"/>
      <c r="J55" s="11"/>
      <c r="K55" s="11"/>
      <c r="L55" s="11"/>
      <c r="M55" s="11"/>
      <c r="N55" s="11"/>
      <c r="O55" s="11"/>
      <c r="P55" s="11"/>
      <c r="Q55" s="11"/>
    </row>
    <row r="56" spans="2:31" ht="22">
      <c r="B56" s="8"/>
      <c r="C56" s="6"/>
      <c r="F56" s="11"/>
      <c r="G56" s="11"/>
      <c r="H56" s="11"/>
      <c r="I56" s="11"/>
      <c r="J56" s="11"/>
      <c r="K56" s="11"/>
      <c r="L56" s="11"/>
      <c r="M56" s="11"/>
      <c r="N56" s="11"/>
      <c r="O56" s="11"/>
      <c r="P56" s="11"/>
      <c r="Q56" s="11"/>
    </row>
    <row r="57" spans="2:31" ht="30" customHeight="1">
      <c r="B57" s="8"/>
      <c r="C57" s="6"/>
      <c r="F57" s="11"/>
      <c r="G57" s="11"/>
      <c r="H57" s="11"/>
      <c r="I57" s="11"/>
      <c r="J57" s="11"/>
      <c r="K57" s="11"/>
      <c r="L57" s="11"/>
      <c r="M57" s="11"/>
      <c r="N57" s="11"/>
      <c r="O57" s="11"/>
      <c r="P57" s="11"/>
      <c r="Q57" s="11"/>
    </row>
    <row r="58" spans="2:31" ht="13.5" customHeight="1">
      <c r="B58" s="8"/>
      <c r="C58" s="6"/>
      <c r="E58" s="21" t="s">
        <v>195</v>
      </c>
      <c r="F58" s="11"/>
      <c r="G58" s="11"/>
      <c r="H58" s="11"/>
      <c r="I58" s="11"/>
      <c r="J58" s="11"/>
      <c r="K58" s="11"/>
      <c r="L58" s="11"/>
      <c r="M58" s="11"/>
      <c r="N58" s="11"/>
      <c r="O58" s="11"/>
      <c r="P58" s="762">
        <f>IFERROR('Tableau de Synthèse'!$E$25,"nc.")</f>
        <v>0</v>
      </c>
      <c r="Q58" s="762"/>
      <c r="R58" s="762"/>
      <c r="S58" s="762"/>
      <c r="T58" s="762"/>
      <c r="U58" s="21" t="s">
        <v>196</v>
      </c>
    </row>
    <row r="59" spans="2:31" ht="5.25" customHeight="1">
      <c r="B59" s="8"/>
      <c r="C59" s="6"/>
      <c r="E59" s="21"/>
      <c r="F59" s="11"/>
      <c r="G59" s="11"/>
      <c r="H59" s="11"/>
      <c r="I59" s="11"/>
      <c r="J59" s="11"/>
      <c r="K59" s="11"/>
      <c r="L59" s="11"/>
      <c r="M59" s="11"/>
      <c r="N59" s="11"/>
      <c r="O59" s="11"/>
      <c r="P59" s="11"/>
      <c r="Q59" s="11"/>
      <c r="R59" s="11"/>
      <c r="S59" s="11"/>
      <c r="T59" s="11"/>
      <c r="U59" s="11"/>
      <c r="V59" s="11"/>
    </row>
    <row r="60" spans="2:31" ht="13.5" customHeight="1">
      <c r="B60" s="8"/>
      <c r="C60" s="6"/>
      <c r="E60" s="21" t="s">
        <v>197</v>
      </c>
      <c r="F60" s="11"/>
      <c r="G60" s="11"/>
      <c r="H60" s="11"/>
      <c r="I60" s="11"/>
      <c r="J60" s="11"/>
      <c r="K60" s="11"/>
      <c r="L60" s="11"/>
      <c r="M60" s="11"/>
      <c r="N60" s="11"/>
      <c r="O60" s="11"/>
      <c r="P60" s="762" t="str">
        <f>IFERROR('Tableau de Synthèse'!$E$23*10^3/'1_Votre Structure'!$E$13,"nc.")</f>
        <v>nc.</v>
      </c>
      <c r="Q60" s="762"/>
      <c r="R60" s="762"/>
      <c r="S60" s="762"/>
      <c r="T60" s="762"/>
      <c r="U60" s="21" t="s">
        <v>198</v>
      </c>
    </row>
    <row r="61" spans="2:31" ht="6.65" customHeight="1">
      <c r="B61" s="8"/>
      <c r="C61" s="6"/>
      <c r="F61" s="11"/>
      <c r="G61" s="11"/>
      <c r="H61" s="11"/>
      <c r="I61" s="11"/>
      <c r="J61" s="11"/>
      <c r="K61" s="11"/>
      <c r="L61" s="11"/>
      <c r="M61" s="11"/>
      <c r="N61" s="11"/>
      <c r="O61" s="11"/>
      <c r="P61" s="11"/>
      <c r="Q61" s="11"/>
    </row>
    <row r="62" spans="2:31" ht="67.5" customHeight="1">
      <c r="B62" s="8"/>
      <c r="C62" s="6"/>
      <c r="D62" s="725" t="s">
        <v>199</v>
      </c>
      <c r="E62" s="72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7"/>
    </row>
    <row r="63" spans="2:31" ht="8.5" customHeight="1"/>
    <row r="64" spans="2:31">
      <c r="B64" s="17"/>
      <c r="C64" s="17"/>
      <c r="E64" s="752" t="s">
        <v>200</v>
      </c>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row>
    <row r="65" spans="2:31">
      <c r="B65" s="17"/>
      <c r="C65" s="17"/>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row>
    <row r="66" spans="2:31" ht="2.25" customHeight="1">
      <c r="B66" s="8"/>
      <c r="C66" s="6"/>
      <c r="F66" s="11"/>
      <c r="G66" s="11"/>
      <c r="H66" s="11"/>
      <c r="I66" s="11"/>
      <c r="J66" s="11"/>
      <c r="K66" s="11"/>
      <c r="L66" s="11"/>
      <c r="M66" s="11"/>
      <c r="N66" s="11"/>
      <c r="O66" s="11"/>
      <c r="P66" s="11"/>
      <c r="Q66" s="11"/>
    </row>
    <row r="67" spans="2:31" ht="13" customHeight="1">
      <c r="B67" s="8"/>
      <c r="C67" s="6"/>
      <c r="F67" s="11"/>
      <c r="G67" s="11"/>
      <c r="H67" s="11"/>
      <c r="I67" s="11"/>
      <c r="J67" s="11"/>
      <c r="K67" s="11"/>
      <c r="L67" s="11"/>
      <c r="M67" s="11"/>
      <c r="N67" s="11"/>
      <c r="O67" s="11"/>
      <c r="P67" s="11"/>
      <c r="Q67" s="11"/>
      <c r="R67" s="735" t="s">
        <v>201</v>
      </c>
      <c r="S67" s="735"/>
      <c r="T67" s="735"/>
      <c r="U67" s="735"/>
      <c r="V67" s="735"/>
      <c r="W67" s="735"/>
      <c r="X67" s="735"/>
      <c r="Y67" s="735"/>
    </row>
    <row r="68" spans="2:31" ht="11.5" customHeight="1">
      <c r="B68" s="8"/>
      <c r="C68" s="6"/>
      <c r="F68" s="11"/>
      <c r="G68" s="11"/>
      <c r="H68" s="11"/>
      <c r="I68" s="11"/>
      <c r="J68" s="11"/>
      <c r="K68" s="11"/>
      <c r="L68" s="11"/>
      <c r="M68" s="11"/>
      <c r="N68" s="11"/>
      <c r="O68" s="11"/>
      <c r="P68" s="11"/>
      <c r="Q68" s="11"/>
      <c r="R68" s="735" t="s">
        <v>202</v>
      </c>
      <c r="S68" s="735"/>
      <c r="T68" s="735"/>
      <c r="U68" s="735"/>
      <c r="V68" s="735" t="s">
        <v>203</v>
      </c>
      <c r="W68" s="735"/>
      <c r="X68" s="735"/>
      <c r="Y68" s="735"/>
      <c r="Z68" s="735" t="s">
        <v>204</v>
      </c>
      <c r="AA68" s="735"/>
      <c r="AB68" s="735"/>
      <c r="AC68" s="735"/>
    </row>
    <row r="69" spans="2:31" ht="12" customHeight="1">
      <c r="B69" s="8"/>
      <c r="C69" s="6"/>
      <c r="F69" s="11"/>
      <c r="G69" s="11"/>
      <c r="H69" s="11"/>
      <c r="I69" s="11"/>
      <c r="J69" s="11"/>
      <c r="K69" s="11"/>
      <c r="L69" s="11"/>
      <c r="M69" s="11"/>
      <c r="N69" s="11"/>
      <c r="O69" s="11"/>
      <c r="P69" s="11"/>
      <c r="Q69" s="11"/>
      <c r="R69" s="737" t="str">
        <f>$I$9</f>
        <v/>
      </c>
      <c r="S69" s="737"/>
      <c r="T69" s="737"/>
      <c r="U69" s="737"/>
      <c r="V69" s="735" t="str">
        <f>$Q$9</f>
        <v/>
      </c>
      <c r="W69" s="735"/>
      <c r="X69" s="735"/>
      <c r="Y69" s="735"/>
      <c r="Z69" s="736" t="s">
        <v>205</v>
      </c>
      <c r="AA69" s="736"/>
      <c r="AB69" s="736"/>
      <c r="AC69" s="736"/>
    </row>
    <row r="70" spans="2:31" ht="13.5" customHeight="1">
      <c r="B70" s="8"/>
      <c r="C70" s="6"/>
      <c r="D70" s="21" t="str">
        <f>'Tableau de Synthèse'!C4</f>
        <v>Consommation d'énergie et d'eau</v>
      </c>
      <c r="R70" s="729"/>
      <c r="S70" s="730"/>
      <c r="T70" s="730"/>
      <c r="U70" s="731"/>
      <c r="V70" s="733" t="str">
        <f>'Tableau de Synthèse'!E4</f>
        <v>Non complété</v>
      </c>
      <c r="W70" s="734"/>
      <c r="X70" s="734"/>
      <c r="Y70" s="734"/>
      <c r="Z70" s="728" t="str">
        <f>IFERROR((V70-R70)/R70,"")</f>
        <v/>
      </c>
      <c r="AA70" s="728"/>
      <c r="AB70" s="728"/>
      <c r="AC70" s="728"/>
    </row>
    <row r="71" spans="2:31" ht="13.5" customHeight="1">
      <c r="B71" s="8"/>
      <c r="C71" s="6"/>
      <c r="D71" s="21" t="str">
        <f>'Tableau de Synthèse'!C5</f>
        <v>Climatisation</v>
      </c>
      <c r="R71" s="729"/>
      <c r="S71" s="730"/>
      <c r="T71" s="730"/>
      <c r="U71" s="731"/>
      <c r="V71" s="733" t="str">
        <f>'Tableau de Synthèse'!E5</f>
        <v>Non complété</v>
      </c>
      <c r="W71" s="734"/>
      <c r="X71" s="734"/>
      <c r="Y71" s="734"/>
      <c r="Z71" s="728" t="str">
        <f t="shared" ref="Z71:Z87" si="0">IFERROR((V71-R71)/R71,"")</f>
        <v/>
      </c>
      <c r="AA71" s="728"/>
      <c r="AB71" s="728"/>
      <c r="AC71" s="728"/>
    </row>
    <row r="72" spans="2:31" ht="13.5" customHeight="1">
      <c r="B72" s="8"/>
      <c r="C72" s="6"/>
      <c r="D72" s="21" t="str">
        <f>'Tableau de Synthèse'!C6</f>
        <v>Bâtiments, travaux et agencements</v>
      </c>
      <c r="R72" s="729"/>
      <c r="S72" s="730"/>
      <c r="T72" s="730"/>
      <c r="U72" s="731"/>
      <c r="V72" s="733" t="str">
        <f>'Tableau de Synthèse'!E6</f>
        <v>Non complété</v>
      </c>
      <c r="W72" s="734"/>
      <c r="X72" s="734"/>
      <c r="Y72" s="734"/>
      <c r="Z72" s="728" t="str">
        <f t="shared" si="0"/>
        <v/>
      </c>
      <c r="AA72" s="728"/>
      <c r="AB72" s="728"/>
      <c r="AC72" s="728"/>
    </row>
    <row r="73" spans="2:31" ht="13.5" customHeight="1">
      <c r="B73" s="8"/>
      <c r="C73" s="6"/>
      <c r="D73" s="21" t="str">
        <f>'Tableau de Synthèse'!C7</f>
        <v>Déchets</v>
      </c>
      <c r="R73" s="729"/>
      <c r="S73" s="730"/>
      <c r="T73" s="730"/>
      <c r="U73" s="731"/>
      <c r="V73" s="733" t="str">
        <f>'Tableau de Synthèse'!E7</f>
        <v>Non complété</v>
      </c>
      <c r="W73" s="734"/>
      <c r="X73" s="734"/>
      <c r="Y73" s="734"/>
      <c r="Z73" s="728" t="str">
        <f t="shared" si="0"/>
        <v/>
      </c>
      <c r="AA73" s="728"/>
      <c r="AB73" s="728"/>
      <c r="AC73" s="728"/>
    </row>
    <row r="74" spans="2:31" ht="13.5" customHeight="1">
      <c r="B74" s="8"/>
      <c r="C74" s="6"/>
      <c r="D74" s="21" t="str">
        <f>'Tableau de Synthèse'!C8</f>
        <v>Déplacements liés à des prestations</v>
      </c>
      <c r="R74" s="729"/>
      <c r="S74" s="730"/>
      <c r="T74" s="730"/>
      <c r="U74" s="731"/>
      <c r="V74" s="733" t="str">
        <f>'Tableau de Synthèse'!E8</f>
        <v>Non complété</v>
      </c>
      <c r="W74" s="734"/>
      <c r="X74" s="734"/>
      <c r="Y74" s="734"/>
      <c r="Z74" s="728" t="str">
        <f t="shared" si="0"/>
        <v/>
      </c>
      <c r="AA74" s="728"/>
      <c r="AB74" s="728"/>
      <c r="AC74" s="728"/>
    </row>
    <row r="75" spans="2:31" ht="13.5" customHeight="1">
      <c r="B75" s="8"/>
      <c r="C75" s="6"/>
      <c r="D75" s="21" t="str">
        <f>'Tableau de Synthèse'!C9</f>
        <v>Déplacements professionnels</v>
      </c>
      <c r="R75" s="729"/>
      <c r="S75" s="730"/>
      <c r="T75" s="730"/>
      <c r="U75" s="731"/>
      <c r="V75" s="733" t="str">
        <f>'Tableau de Synthèse'!E9</f>
        <v>Non complété</v>
      </c>
      <c r="W75" s="734"/>
      <c r="X75" s="734"/>
      <c r="Y75" s="734"/>
      <c r="Z75" s="728" t="str">
        <f t="shared" ref="Z75:Z77" si="1">IFERROR((V75-R75)/R75,"")</f>
        <v/>
      </c>
      <c r="AA75" s="728"/>
      <c r="AB75" s="728"/>
      <c r="AC75" s="728"/>
    </row>
    <row r="76" spans="2:31" ht="13.5" customHeight="1">
      <c r="B76" s="8"/>
      <c r="C76" s="6"/>
      <c r="D76" s="21" t="str">
        <f>'Tableau de Synthèse'!C10</f>
        <v>Déplacement des salariés</v>
      </c>
      <c r="R76" s="729"/>
      <c r="S76" s="730"/>
      <c r="T76" s="730"/>
      <c r="U76" s="731"/>
      <c r="V76" s="733" t="str">
        <f>'Tableau de Synthèse'!E10</f>
        <v>Non complété</v>
      </c>
      <c r="W76" s="734"/>
      <c r="X76" s="734"/>
      <c r="Y76" s="734"/>
      <c r="Z76" s="728" t="str">
        <f t="shared" si="1"/>
        <v/>
      </c>
      <c r="AA76" s="728"/>
      <c r="AB76" s="728"/>
      <c r="AC76" s="728"/>
    </row>
    <row r="77" spans="2:31" ht="13.5" customHeight="1">
      <c r="B77" s="8"/>
      <c r="C77" s="6"/>
      <c r="D77" s="21" t="str">
        <f>'Tableau de Synthèse'!C11</f>
        <v>Déplacements des visiteurs</v>
      </c>
      <c r="R77" s="729"/>
      <c r="S77" s="730"/>
      <c r="T77" s="730"/>
      <c r="U77" s="731"/>
      <c r="V77" s="733" t="str">
        <f>'Tableau de Synthèse'!E11</f>
        <v>Non complété</v>
      </c>
      <c r="W77" s="734"/>
      <c r="X77" s="734"/>
      <c r="Y77" s="734"/>
      <c r="Z77" s="728" t="str">
        <f t="shared" si="1"/>
        <v/>
      </c>
      <c r="AA77" s="728"/>
      <c r="AB77" s="728"/>
      <c r="AC77" s="728"/>
    </row>
    <row r="78" spans="2:31" ht="13.5" customHeight="1">
      <c r="B78" s="8"/>
      <c r="C78" s="6"/>
      <c r="D78" s="21" t="str">
        <f>'Tableau de Synthèse'!C12</f>
        <v>Tournées artistiques</v>
      </c>
      <c r="R78" s="729"/>
      <c r="S78" s="730"/>
      <c r="T78" s="730"/>
      <c r="U78" s="731"/>
      <c r="V78" s="733" t="str">
        <f>'Tableau de Synthèse'!E12</f>
        <v>Non complété</v>
      </c>
      <c r="W78" s="734"/>
      <c r="X78" s="734"/>
      <c r="Y78" s="734"/>
      <c r="Z78" s="728" t="str">
        <f t="shared" si="0"/>
        <v/>
      </c>
      <c r="AA78" s="728"/>
      <c r="AB78" s="728"/>
      <c r="AC78" s="728"/>
    </row>
    <row r="79" spans="2:31" ht="13.5" customHeight="1">
      <c r="B79" s="8"/>
      <c r="C79" s="6"/>
      <c r="D79" s="21" t="str">
        <f>'Tableau de Synthèse'!C13</f>
        <v>Artistes invité.e.s</v>
      </c>
      <c r="R79" s="729"/>
      <c r="S79" s="730"/>
      <c r="T79" s="730"/>
      <c r="U79" s="731"/>
      <c r="V79" s="733" t="str">
        <f>'Tableau de Synthèse'!E13</f>
        <v>Non complété</v>
      </c>
      <c r="W79" s="734"/>
      <c r="X79" s="734"/>
      <c r="Y79" s="734"/>
      <c r="Z79" s="728" t="str">
        <f t="shared" si="0"/>
        <v/>
      </c>
      <c r="AA79" s="728"/>
      <c r="AB79" s="728"/>
      <c r="AC79" s="728"/>
    </row>
    <row r="80" spans="2:31" ht="13.5" customHeight="1">
      <c r="B80" s="8"/>
      <c r="C80" s="6"/>
      <c r="D80" s="21" t="str">
        <f>'Tableau de Synthèse'!C14</f>
        <v>Equipements</v>
      </c>
      <c r="R80" s="729"/>
      <c r="S80" s="730"/>
      <c r="T80" s="730"/>
      <c r="U80" s="731"/>
      <c r="V80" s="733" t="str">
        <f>'Tableau de Synthèse'!E14</f>
        <v>Non complété</v>
      </c>
      <c r="W80" s="734"/>
      <c r="X80" s="734"/>
      <c r="Y80" s="734"/>
      <c r="Z80" s="728" t="str">
        <f t="shared" si="0"/>
        <v/>
      </c>
      <c r="AA80" s="728"/>
      <c r="AB80" s="728"/>
      <c r="AC80" s="728"/>
    </row>
    <row r="81" spans="2:30" ht="13.5" customHeight="1">
      <c r="B81" s="8"/>
      <c r="C81" s="6"/>
      <c r="D81" s="21" t="str">
        <f>'Tableau de Synthèse'!C15</f>
        <v>Achats - Documents papiers</v>
      </c>
      <c r="R81" s="729"/>
      <c r="S81" s="730"/>
      <c r="T81" s="730"/>
      <c r="U81" s="731"/>
      <c r="V81" s="733" t="str">
        <f>'Tableau de Synthèse'!E15</f>
        <v>Non complété</v>
      </c>
      <c r="W81" s="734"/>
      <c r="X81" s="734"/>
      <c r="Y81" s="734"/>
      <c r="Z81" s="728" t="str">
        <f t="shared" si="0"/>
        <v/>
      </c>
      <c r="AA81" s="728"/>
      <c r="AB81" s="728"/>
      <c r="AC81" s="728"/>
    </row>
    <row r="82" spans="2:30" ht="13.5" customHeight="1">
      <c r="B82" s="8"/>
      <c r="C82" s="6"/>
      <c r="D82" s="21" t="str">
        <f>'Tableau de Synthèse'!C16</f>
        <v>Décors</v>
      </c>
      <c r="R82" s="729"/>
      <c r="S82" s="730"/>
      <c r="T82" s="730"/>
      <c r="U82" s="731"/>
      <c r="V82" s="733" t="str">
        <f>'Tableau de Synthèse'!E16</f>
        <v>Non complété</v>
      </c>
      <c r="W82" s="734"/>
      <c r="X82" s="734"/>
      <c r="Y82" s="734"/>
      <c r="Z82" s="728" t="str">
        <f t="shared" si="0"/>
        <v/>
      </c>
      <c r="AA82" s="728"/>
      <c r="AB82" s="728"/>
      <c r="AC82" s="728"/>
    </row>
    <row r="83" spans="2:30" ht="13.5" customHeight="1">
      <c r="B83" s="8"/>
      <c r="C83" s="6"/>
      <c r="D83" s="21" t="str">
        <f>'Tableau de Synthèse'!C17</f>
        <v>Alimentation</v>
      </c>
      <c r="R83" s="729"/>
      <c r="S83" s="730"/>
      <c r="T83" s="730"/>
      <c r="U83" s="731"/>
      <c r="V83" s="733" t="str">
        <f>'Tableau de Synthèse'!E17</f>
        <v>Non complété</v>
      </c>
      <c r="W83" s="734"/>
      <c r="X83" s="734"/>
      <c r="Y83" s="734"/>
      <c r="Z83" s="728" t="str">
        <f t="shared" si="0"/>
        <v/>
      </c>
      <c r="AA83" s="728"/>
      <c r="AB83" s="728"/>
      <c r="AC83" s="728"/>
    </row>
    <row r="84" spans="2:30" ht="13.5" customHeight="1">
      <c r="B84" s="8"/>
      <c r="C84" s="6"/>
      <c r="D84" s="21" t="str">
        <f>'Tableau de Synthèse'!C18</f>
        <v>Autres achats</v>
      </c>
      <c r="R84" s="729"/>
      <c r="S84" s="730"/>
      <c r="T84" s="730"/>
      <c r="U84" s="731"/>
      <c r="V84" s="733" t="str">
        <f>'Tableau de Synthèse'!E18</f>
        <v>Non complété</v>
      </c>
      <c r="W84" s="734"/>
      <c r="X84" s="734"/>
      <c r="Y84" s="734"/>
      <c r="Z84" s="728" t="str">
        <f t="shared" si="0"/>
        <v/>
      </c>
      <c r="AA84" s="728"/>
      <c r="AB84" s="728"/>
      <c r="AC84" s="728"/>
    </row>
    <row r="85" spans="2:30" ht="13.5" customHeight="1">
      <c r="B85" s="8"/>
      <c r="C85" s="6"/>
      <c r="D85" s="21" t="str">
        <f>'Tableau de Synthèse'!C19</f>
        <v>Transport de matériel et d'œuvres</v>
      </c>
      <c r="R85" s="729"/>
      <c r="S85" s="730"/>
      <c r="T85" s="730"/>
      <c r="U85" s="731"/>
      <c r="V85" s="733" t="str">
        <f>'Tableau de Synthèse'!E19</f>
        <v>Non complété</v>
      </c>
      <c r="W85" s="734"/>
      <c r="X85" s="734"/>
      <c r="Y85" s="734"/>
      <c r="Z85" s="728" t="str">
        <f t="shared" si="0"/>
        <v/>
      </c>
      <c r="AA85" s="728"/>
      <c r="AB85" s="728"/>
      <c r="AC85" s="728"/>
    </row>
    <row r="86" spans="2:30" ht="13.5" customHeight="1">
      <c r="B86" s="8"/>
      <c r="C86" s="6"/>
      <c r="D86" s="21" t="str">
        <f>'Tableau de Synthèse'!C20</f>
        <v>Impression et communication papier</v>
      </c>
      <c r="R86" s="729"/>
      <c r="S86" s="730"/>
      <c r="T86" s="730"/>
      <c r="U86" s="731"/>
      <c r="V86" s="733" t="str">
        <f>'Tableau de Synthèse'!E20</f>
        <v>Non complété</v>
      </c>
      <c r="W86" s="734"/>
      <c r="X86" s="734"/>
      <c r="Y86" s="734"/>
      <c r="Z86" s="728" t="str">
        <f t="shared" si="0"/>
        <v/>
      </c>
      <c r="AA86" s="728"/>
      <c r="AB86" s="728"/>
      <c r="AC86" s="728"/>
    </row>
    <row r="87" spans="2:30" ht="13.5" customHeight="1">
      <c r="B87" s="8"/>
      <c r="C87" s="6"/>
      <c r="D87" s="21" t="str">
        <f>'Tableau de Synthèse'!C21</f>
        <v>Communication digitale</v>
      </c>
      <c r="R87" s="729"/>
      <c r="S87" s="730"/>
      <c r="T87" s="730"/>
      <c r="U87" s="731"/>
      <c r="V87" s="733" t="str">
        <f>'Tableau de Synthèse'!E21</f>
        <v>Non complété</v>
      </c>
      <c r="W87" s="734"/>
      <c r="X87" s="734"/>
      <c r="Y87" s="734"/>
      <c r="Z87" s="728" t="str">
        <f t="shared" si="0"/>
        <v/>
      </c>
      <c r="AA87" s="728"/>
      <c r="AB87" s="728"/>
      <c r="AC87" s="728"/>
    </row>
    <row r="88" spans="2:30" ht="13.5" customHeight="1">
      <c r="B88" s="8"/>
      <c r="C88" s="6"/>
      <c r="D88" s="21" t="str">
        <f>'Tableau de Synthèse'!C22</f>
        <v>Billetterie</v>
      </c>
      <c r="R88" s="729"/>
      <c r="S88" s="730"/>
      <c r="T88" s="730"/>
      <c r="U88" s="731"/>
      <c r="V88" s="733" t="str">
        <f>'Tableau de Synthèse'!E22</f>
        <v>Non complété</v>
      </c>
      <c r="W88" s="734"/>
      <c r="X88" s="734"/>
      <c r="Y88" s="734"/>
      <c r="Z88" s="728" t="str">
        <f>IFERROR((V88-R88)/R88,"")</f>
        <v/>
      </c>
      <c r="AA88" s="728"/>
      <c r="AB88" s="728"/>
      <c r="AC88" s="728"/>
    </row>
    <row r="89" spans="2:30" ht="13.5" customHeight="1">
      <c r="B89" s="8"/>
      <c r="C89" s="6"/>
      <c r="D89" s="36" t="s">
        <v>206</v>
      </c>
      <c r="R89" s="729"/>
      <c r="S89" s="730"/>
      <c r="T89" s="730"/>
      <c r="U89" s="731"/>
      <c r="V89" s="732">
        <f>'Tableau de Synthèse'!E23</f>
        <v>0</v>
      </c>
      <c r="W89" s="732"/>
      <c r="X89" s="732"/>
      <c r="Y89" s="732"/>
      <c r="Z89" s="728" t="str">
        <f>IFERROR((V89-R89)/R89,"")</f>
        <v/>
      </c>
      <c r="AA89" s="728"/>
      <c r="AB89" s="728"/>
      <c r="AC89" s="728"/>
    </row>
    <row r="90" spans="2:30" ht="4" customHeight="1">
      <c r="B90" s="8"/>
      <c r="C90" s="6"/>
    </row>
    <row r="91" spans="2:30" ht="9.5" customHeight="1">
      <c r="B91" s="8"/>
      <c r="C91" s="35"/>
      <c r="D91" s="35" t="s">
        <v>207</v>
      </c>
    </row>
    <row r="92" spans="2:30" ht="43.5" customHeight="1">
      <c r="B92" s="8"/>
      <c r="C92" s="6"/>
      <c r="D92" s="725" t="s">
        <v>199</v>
      </c>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7"/>
    </row>
  </sheetData>
  <mergeCells count="138">
    <mergeCell ref="R39:X39"/>
    <mergeCell ref="E64:AE65"/>
    <mergeCell ref="K39:P39"/>
    <mergeCell ref="R38:X38"/>
    <mergeCell ref="D39:J39"/>
    <mergeCell ref="R41:X41"/>
    <mergeCell ref="Y39:AD39"/>
    <mergeCell ref="D37:J37"/>
    <mergeCell ref="K37:P37"/>
    <mergeCell ref="P58:T58"/>
    <mergeCell ref="P60:T60"/>
    <mergeCell ref="D62:AD62"/>
    <mergeCell ref="D48:R49"/>
    <mergeCell ref="T48:Y49"/>
    <mergeCell ref="Z48:AB49"/>
    <mergeCell ref="Y37:AD37"/>
    <mergeCell ref="R40:X40"/>
    <mergeCell ref="D41:J41"/>
    <mergeCell ref="R43:X43"/>
    <mergeCell ref="D43:J43"/>
    <mergeCell ref="B22:C23"/>
    <mergeCell ref="D22:AD23"/>
    <mergeCell ref="B11:C12"/>
    <mergeCell ref="B5:H6"/>
    <mergeCell ref="M18:O18"/>
    <mergeCell ref="S11:AD12"/>
    <mergeCell ref="D14:K14"/>
    <mergeCell ref="D16:K16"/>
    <mergeCell ref="D18:K18"/>
    <mergeCell ref="D11:O12"/>
    <mergeCell ref="D20:N20"/>
    <mergeCell ref="M14:O14"/>
    <mergeCell ref="M16:O16"/>
    <mergeCell ref="O5:AE6"/>
    <mergeCell ref="S14:AD20"/>
    <mergeCell ref="E2:AA2"/>
    <mergeCell ref="E3:AA3"/>
    <mergeCell ref="I8:N8"/>
    <mergeCell ref="I9:N9"/>
    <mergeCell ref="Q8:V8"/>
    <mergeCell ref="Q9:V9"/>
    <mergeCell ref="I5:N6"/>
    <mergeCell ref="D33:J33"/>
    <mergeCell ref="D35:J35"/>
    <mergeCell ref="D24:AC24"/>
    <mergeCell ref="D25:J25"/>
    <mergeCell ref="R27:X27"/>
    <mergeCell ref="R29:X29"/>
    <mergeCell ref="R31:X31"/>
    <mergeCell ref="R33:X33"/>
    <mergeCell ref="R35:X35"/>
    <mergeCell ref="R25:X25"/>
    <mergeCell ref="Z74:AC74"/>
    <mergeCell ref="Z78:AC78"/>
    <mergeCell ref="Z79:AC79"/>
    <mergeCell ref="Z80:AC80"/>
    <mergeCell ref="Z81:AC81"/>
    <mergeCell ref="V80:Y80"/>
    <mergeCell ref="V81:Y81"/>
    <mergeCell ref="V74:Y74"/>
    <mergeCell ref="V78:Y78"/>
    <mergeCell ref="V79:Y79"/>
    <mergeCell ref="V75:Y75"/>
    <mergeCell ref="Z75:AC75"/>
    <mergeCell ref="V76:Y76"/>
    <mergeCell ref="Z76:AC76"/>
    <mergeCell ref="V77:Y77"/>
    <mergeCell ref="Z77:AC77"/>
    <mergeCell ref="V72:Y72"/>
    <mergeCell ref="V73:Y73"/>
    <mergeCell ref="Z72:AC72"/>
    <mergeCell ref="R37:X37"/>
    <mergeCell ref="D31:J31"/>
    <mergeCell ref="D29:J29"/>
    <mergeCell ref="D27:J27"/>
    <mergeCell ref="Y25:AD25"/>
    <mergeCell ref="K27:P27"/>
    <mergeCell ref="K29:P29"/>
    <mergeCell ref="K31:P31"/>
    <mergeCell ref="Z73:AC73"/>
    <mergeCell ref="D45:AD45"/>
    <mergeCell ref="Z70:AC70"/>
    <mergeCell ref="Z71:AC71"/>
    <mergeCell ref="Y27:AD27"/>
    <mergeCell ref="Y29:AD29"/>
    <mergeCell ref="Y31:AD31"/>
    <mergeCell ref="Y33:AD33"/>
    <mergeCell ref="Y35:AD35"/>
    <mergeCell ref="K25:P25"/>
    <mergeCell ref="K33:P33"/>
    <mergeCell ref="K35:P35"/>
    <mergeCell ref="R36:X36"/>
    <mergeCell ref="R80:U80"/>
    <mergeCell ref="R81:U81"/>
    <mergeCell ref="R82:U82"/>
    <mergeCell ref="R83:U83"/>
    <mergeCell ref="R70:U70"/>
    <mergeCell ref="R72:U72"/>
    <mergeCell ref="R73:U73"/>
    <mergeCell ref="R74:U74"/>
    <mergeCell ref="R78:U78"/>
    <mergeCell ref="R79:U79"/>
    <mergeCell ref="R75:U75"/>
    <mergeCell ref="R76:U76"/>
    <mergeCell ref="R77:U77"/>
    <mergeCell ref="R67:Y67"/>
    <mergeCell ref="R68:U68"/>
    <mergeCell ref="V68:Y68"/>
    <mergeCell ref="Z68:AC68"/>
    <mergeCell ref="Z69:AC69"/>
    <mergeCell ref="V69:Y69"/>
    <mergeCell ref="R69:U69"/>
    <mergeCell ref="V70:Y70"/>
    <mergeCell ref="V71:Y71"/>
    <mergeCell ref="R71:U71"/>
    <mergeCell ref="D92:AD92"/>
    <mergeCell ref="Z82:AC82"/>
    <mergeCell ref="Z83:AC83"/>
    <mergeCell ref="Z84:AC84"/>
    <mergeCell ref="Z85:AC85"/>
    <mergeCell ref="Z86:AC86"/>
    <mergeCell ref="Z87:AC87"/>
    <mergeCell ref="Z88:AC88"/>
    <mergeCell ref="R89:U89"/>
    <mergeCell ref="V89:Y89"/>
    <mergeCell ref="Z89:AC89"/>
    <mergeCell ref="V84:Y84"/>
    <mergeCell ref="V85:Y85"/>
    <mergeCell ref="V86:Y86"/>
    <mergeCell ref="V87:Y87"/>
    <mergeCell ref="V88:Y88"/>
    <mergeCell ref="R84:U84"/>
    <mergeCell ref="R85:U85"/>
    <mergeCell ref="R86:U86"/>
    <mergeCell ref="R87:U87"/>
    <mergeCell ref="R88:U88"/>
    <mergeCell ref="V83:Y83"/>
    <mergeCell ref="V82:Y82"/>
  </mergeCells>
  <conditionalFormatting sqref="Z70:Z89">
    <cfRule type="colorScale" priority="1">
      <colorScale>
        <cfvo type="num" val="-1"/>
        <cfvo type="num" val="0"/>
        <cfvo type="num" val="1"/>
        <color rgb="FF92D050"/>
        <color rgb="FFFFEB84"/>
        <color rgb="FFFF6600"/>
      </colorScale>
    </cfRule>
  </conditionalFormatting>
  <dataValidations count="1">
    <dataValidation type="list" allowBlank="1" showInputMessage="1" showErrorMessage="1" sqref="K25 K33 K43 K27 K29 K37 K31 Y27 K35 Y25 Y29 Y31 Y33 Y35 Y37 K39 Y39 Y41 K41" xr:uid="{00000000-0002-0000-1400-000000000000}">
      <formula1>"Pris en compte,Données indisponibles,Non concerné"</formula1>
    </dataValidation>
  </dataValidations>
  <pageMargins left="0.7" right="0.7" top="0.75" bottom="0.75" header="0.3" footer="0.3"/>
  <pageSetup paperSize="9" scale="98" fitToHeight="0" orientation="portrait" horizontalDpi="4294967293" r:id="rId1"/>
  <headerFooter>
    <oddHeader>&amp;C&amp;G</oddHeader>
    <oddFooter>&amp;C&amp;G&amp;R&amp;P/&amp;N</oddFooter>
  </headerFooter>
  <rowBreaks count="1" manualBreakCount="1">
    <brk id="46" max="30"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5">
    <tabColor theme="0" tint="-0.34998626667073579"/>
  </sheetPr>
  <dimension ref="A1:N2601"/>
  <sheetViews>
    <sheetView showGridLines="0" zoomScale="60" zoomScaleNormal="60" workbookViewId="0">
      <selection activeCell="O5" sqref="O5:AE6"/>
    </sheetView>
  </sheetViews>
  <sheetFormatPr baseColWidth="10" defaultColWidth="11.453125" defaultRowHeight="14"/>
  <cols>
    <col min="1" max="1" width="75" style="4" customWidth="1"/>
    <col min="2" max="2" width="7.81640625" style="4" customWidth="1"/>
    <col min="3" max="3" width="34.81640625" style="4" customWidth="1"/>
    <col min="4" max="4" width="51.6328125" style="4" customWidth="1"/>
    <col min="5" max="5" width="14.81640625" style="4" customWidth="1"/>
    <col min="6" max="6" width="17.6328125" style="4" customWidth="1"/>
    <col min="7" max="7" width="14" style="4" customWidth="1"/>
    <col min="8" max="8" width="13.1796875" style="4" customWidth="1"/>
    <col min="9" max="9" width="17.453125" style="4" customWidth="1"/>
    <col min="10" max="10" width="12.453125" style="4" customWidth="1"/>
    <col min="11" max="11" width="25.81640625" style="4" customWidth="1"/>
    <col min="12" max="12" width="11.453125" style="4"/>
    <col min="13" max="13" width="71" style="4" customWidth="1"/>
    <col min="14" max="16384" width="11.453125" style="4"/>
  </cols>
  <sheetData>
    <row r="1" spans="1:14" ht="14.5" customHeight="1">
      <c r="A1" s="67"/>
      <c r="B1" s="67"/>
      <c r="C1" s="67"/>
      <c r="D1" s="772" t="s">
        <v>611</v>
      </c>
      <c r="E1" s="772"/>
      <c r="F1" s="772"/>
      <c r="G1" s="772"/>
      <c r="H1" s="772"/>
      <c r="I1" s="772"/>
      <c r="J1" s="772"/>
      <c r="K1" s="772"/>
    </row>
    <row r="2" spans="1:14" s="5" customFormat="1" ht="69.75" customHeight="1">
      <c r="A2" s="79" t="s">
        <v>612</v>
      </c>
      <c r="B2" s="79" t="s">
        <v>166</v>
      </c>
      <c r="C2" s="79" t="s">
        <v>613</v>
      </c>
      <c r="D2" s="80" t="s">
        <v>614</v>
      </c>
      <c r="E2" s="79" t="s">
        <v>615</v>
      </c>
      <c r="F2" s="79" t="s">
        <v>616</v>
      </c>
      <c r="G2" s="79" t="s">
        <v>167</v>
      </c>
      <c r="H2" s="79" t="s">
        <v>617</v>
      </c>
      <c r="I2" s="79" t="s">
        <v>618</v>
      </c>
      <c r="J2" s="79" t="s">
        <v>619</v>
      </c>
      <c r="K2" s="79" t="s">
        <v>620</v>
      </c>
      <c r="L2" s="79" t="s">
        <v>621</v>
      </c>
      <c r="M2" s="81" t="s">
        <v>210</v>
      </c>
    </row>
    <row r="3" spans="1:14">
      <c r="A3" s="399" t="s">
        <v>3395</v>
      </c>
      <c r="B3" s="400" t="s">
        <v>653</v>
      </c>
      <c r="C3" s="400" t="s">
        <v>657</v>
      </c>
      <c r="D3" s="401">
        <v>3.29</v>
      </c>
      <c r="E3" s="401">
        <v>6.2203355000000002E-3</v>
      </c>
      <c r="F3" s="401">
        <v>0.35111300000000001</v>
      </c>
      <c r="G3" s="401">
        <v>0.47782284000000003</v>
      </c>
      <c r="H3" s="401">
        <v>0.17638297999999999</v>
      </c>
      <c r="I3" s="401">
        <v>1.5108570999999999E-2</v>
      </c>
      <c r="J3" s="401">
        <v>6.6736979E-3</v>
      </c>
      <c r="K3" s="401">
        <f t="shared" ref="K3" si="0">SUM(E3:J3)</f>
        <v>1.0333214244000002</v>
      </c>
      <c r="L3" s="401">
        <f t="shared" ref="L3:L24" si="1">K3-H3/2</f>
        <v>0.94512993440000015</v>
      </c>
      <c r="M3" s="402" t="s">
        <v>3396</v>
      </c>
    </row>
    <row r="4" spans="1:14">
      <c r="A4" s="399" t="s">
        <v>3394</v>
      </c>
      <c r="B4" s="400" t="s">
        <v>653</v>
      </c>
      <c r="C4" s="400" t="s">
        <v>657</v>
      </c>
      <c r="D4" s="401">
        <f>AVERAGE('BDD agribalyse'!E135:E141)</f>
        <v>3.0371428571428574</v>
      </c>
      <c r="E4" s="401">
        <f>AVERAGE('BDD agribalyse'!F135:F141)</f>
        <v>6.4228912000000013E-2</v>
      </c>
      <c r="F4" s="401">
        <f>AVERAGE('BDD agribalyse'!G135:G141)</f>
        <v>0.26196323000000005</v>
      </c>
      <c r="G4" s="401">
        <f>AVERAGE('BDD agribalyse'!H135:H141)</f>
        <v>0.47782284000000003</v>
      </c>
      <c r="H4" s="401">
        <f>AVERAGE('BDD agribalyse'!I135:I141)</f>
        <v>0.27284365999999999</v>
      </c>
      <c r="I4" s="401">
        <f>AVERAGE('BDD agribalyse'!J135:J141)</f>
        <v>3.5836186999999999E-2</v>
      </c>
      <c r="J4" s="401">
        <f>AVERAGE('BDD agribalyse'!K135:K141)</f>
        <v>6.6736978999999991E-3</v>
      </c>
      <c r="K4" s="401">
        <f>AVERAGE('BDD agribalyse'!L135:L141)</f>
        <v>1.1193685268999998</v>
      </c>
      <c r="L4" s="84">
        <f t="shared" si="1"/>
        <v>0.98294669689999981</v>
      </c>
      <c r="M4" s="402" t="s">
        <v>658</v>
      </c>
    </row>
    <row r="5" spans="1:14">
      <c r="A5" s="82" t="s">
        <v>622</v>
      </c>
      <c r="B5" s="83" t="s">
        <v>323</v>
      </c>
      <c r="C5" s="83" t="s">
        <v>623</v>
      </c>
      <c r="D5" s="84">
        <v>2.14</v>
      </c>
      <c r="E5" s="84">
        <v>3.8424242999999998</v>
      </c>
      <c r="F5" s="84">
        <v>0.32913764000000001</v>
      </c>
      <c r="G5" s="84">
        <v>0.10869536</v>
      </c>
      <c r="H5" s="84">
        <v>0.135384</v>
      </c>
      <c r="I5" s="84">
        <v>2.9120657000000001E-2</v>
      </c>
      <c r="J5" s="84">
        <v>0</v>
      </c>
      <c r="K5" s="84">
        <v>4.4447267000000004</v>
      </c>
      <c r="L5" s="84">
        <f t="shared" si="1"/>
        <v>4.3770347000000003</v>
      </c>
      <c r="M5" s="85" t="s">
        <v>624</v>
      </c>
    </row>
    <row r="6" spans="1:14">
      <c r="A6" s="399" t="s">
        <v>625</v>
      </c>
      <c r="B6" s="400" t="s">
        <v>323</v>
      </c>
      <c r="C6" s="400" t="s">
        <v>623</v>
      </c>
      <c r="D6" s="401">
        <f>AVERAGE('BDD agribalyse'!E147:E156)</f>
        <v>2.64</v>
      </c>
      <c r="E6" s="401">
        <f>AVERAGE('BDD agribalyse'!F147:F156)</f>
        <v>0.85124335000000007</v>
      </c>
      <c r="F6" s="401">
        <f>AVERAGE('BDD agribalyse'!G147:G156)</f>
        <v>0.29801520999999997</v>
      </c>
      <c r="G6" s="401">
        <f>AVERAGE('BDD agribalyse'!H147:H156)</f>
        <v>0.28132688</v>
      </c>
      <c r="H6" s="401">
        <f>AVERAGE('BDD agribalyse'!I147:I156)</f>
        <v>0.13754464</v>
      </c>
      <c r="I6" s="401">
        <f>AVERAGE('BDD agribalyse'!J147:J156)</f>
        <v>1.9437894000000004E-2</v>
      </c>
      <c r="J6" s="401">
        <f>AVERAGE('BDD agribalyse'!K147:K156)</f>
        <v>0</v>
      </c>
      <c r="K6" s="401">
        <f>AVERAGE('BDD agribalyse'!L147:L156)</f>
        <v>1.5875679739999995</v>
      </c>
      <c r="L6" s="84">
        <f t="shared" si="1"/>
        <v>1.5187956539999994</v>
      </c>
      <c r="M6" s="403" t="s">
        <v>626</v>
      </c>
    </row>
    <row r="7" spans="1:14">
      <c r="A7" s="399" t="s">
        <v>661</v>
      </c>
      <c r="B7" s="400" t="s">
        <v>653</v>
      </c>
      <c r="C7" s="400" t="s">
        <v>650</v>
      </c>
      <c r="D7" s="401">
        <f>AVERAGE('BDD agribalyse'!E280:E286)</f>
        <v>3.108571428571429</v>
      </c>
      <c r="E7" s="401">
        <f>AVERAGE('BDD agribalyse'!F280:F286)</f>
        <v>2.3289546600000006E-2</v>
      </c>
      <c r="F7" s="401">
        <f>AVERAGE('BDD agribalyse'!G280:G286)</f>
        <v>1.6821654285714287E-2</v>
      </c>
      <c r="G7" s="401">
        <f>AVERAGE('BDD agribalyse'!H280:H286)</f>
        <v>0.17099523571428568</v>
      </c>
      <c r="H7" s="401">
        <f>AVERAGE('BDD agribalyse'!I280:I286)</f>
        <v>0.19014060999999999</v>
      </c>
      <c r="I7" s="401">
        <f>AVERAGE('BDD agribalyse'!J280:J286)</f>
        <v>3.5836186999999999E-2</v>
      </c>
      <c r="J7" s="401">
        <f>AVERAGE('BDD agribalyse'!K280:K286)</f>
        <v>6.6736978999999991E-3</v>
      </c>
      <c r="K7" s="401">
        <f>AVERAGE('BDD agribalyse'!L280:L286)</f>
        <v>0.44375693150000012</v>
      </c>
      <c r="L7" s="84">
        <f t="shared" si="1"/>
        <v>0.34868662650000015</v>
      </c>
      <c r="M7" s="403" t="s">
        <v>662</v>
      </c>
    </row>
    <row r="8" spans="1:14" ht="14.5">
      <c r="A8" s="404" t="s">
        <v>3682</v>
      </c>
      <c r="B8" s="400" t="s">
        <v>323</v>
      </c>
      <c r="C8" s="400"/>
      <c r="D8" s="401">
        <f>VLOOKUP($N8,'BDD agribalyse'!$A:$L,5,FALSE)</f>
        <v>3.64</v>
      </c>
      <c r="E8" s="401">
        <f>VLOOKUP($N8,'BDD agribalyse'!$A:$L,6,FALSE)</f>
        <v>0.89920162999999997</v>
      </c>
      <c r="F8" s="401">
        <f>VLOOKUP($N8,'BDD agribalyse'!$A:$L,7,FALSE)</f>
        <v>0.33587512000000003</v>
      </c>
      <c r="G8" s="401">
        <f>VLOOKUP($N8,'BDD agribalyse'!$A:$L,8,FALSE)</f>
        <v>0.27079121</v>
      </c>
      <c r="H8" s="401">
        <f>VLOOKUP($N8,'BDD agribalyse'!$A:$L,9,FALSE)</f>
        <v>0.19967935000000001</v>
      </c>
      <c r="I8" s="401">
        <f>VLOOKUP($N8,'BDD agribalyse'!$A:$L,10,FALSE)</f>
        <v>1.7263204000000001E-2</v>
      </c>
      <c r="J8" s="401">
        <f>VLOOKUP($N8,'BDD agribalyse'!$A:$L,11,FALSE)</f>
        <v>0</v>
      </c>
      <c r="K8" s="401">
        <f>VLOOKUP($N8,'BDD agribalyse'!$A:$L,12,FALSE)</f>
        <v>1.7228105140000001</v>
      </c>
      <c r="L8" s="84">
        <f t="shared" si="1"/>
        <v>1.6229708390000002</v>
      </c>
      <c r="M8" s="87" t="s">
        <v>629</v>
      </c>
      <c r="N8" s="398" t="s">
        <v>665</v>
      </c>
    </row>
    <row r="9" spans="1:14" ht="14.5">
      <c r="A9" s="404" t="s">
        <v>1148</v>
      </c>
      <c r="B9" s="400" t="s">
        <v>323</v>
      </c>
      <c r="C9" s="400" t="str">
        <f>VLOOKUP(N50,'BDD agribalyse'!A:L,3,FALSE)</f>
        <v>gâteaux et pâtisseries</v>
      </c>
      <c r="D9" s="401">
        <f>VLOOKUP($N9,'BDD agribalyse'!$A:$L,5,FALSE)</f>
        <v>2.19</v>
      </c>
      <c r="E9" s="401">
        <f>VLOOKUP($N9,'BDD agribalyse'!$A:$L,6,FALSE)</f>
        <v>6.3294106000000001</v>
      </c>
      <c r="F9" s="401">
        <f>VLOOKUP($N9,'BDD agribalyse'!$A:$L,7,FALSE)</f>
        <v>0.34862378999999999</v>
      </c>
      <c r="G9" s="401">
        <f>VLOOKUP($N9,'BDD agribalyse'!$A:$L,8,FALSE)</f>
        <v>0.28779300000000002</v>
      </c>
      <c r="H9" s="401">
        <f>VLOOKUP($N9,'BDD agribalyse'!$A:$L,9,FALSE)</f>
        <v>0.20994214</v>
      </c>
      <c r="I9" s="401">
        <f>VLOOKUP($N9,'BDD agribalyse'!$A:$L,10,FALSE)</f>
        <v>1.9437894000000001E-2</v>
      </c>
      <c r="J9" s="401">
        <f>VLOOKUP($N9,'BDD agribalyse'!$A:$L,11,FALSE)</f>
        <v>0</v>
      </c>
      <c r="K9" s="401">
        <f>VLOOKUP($N9,'BDD agribalyse'!$A:$L,12,FALSE)</f>
        <v>7.1952074240000004</v>
      </c>
      <c r="L9" s="84">
        <f t="shared" si="1"/>
        <v>7.090236354</v>
      </c>
      <c r="M9" s="87" t="s">
        <v>629</v>
      </c>
      <c r="N9" s="398" t="s">
        <v>1148</v>
      </c>
    </row>
    <row r="10" spans="1:14" ht="14.5">
      <c r="A10" s="404" t="s">
        <v>1153</v>
      </c>
      <c r="B10" s="400" t="s">
        <v>323</v>
      </c>
      <c r="C10" s="400" t="str">
        <f>VLOOKUP(N11,'BDD agribalyse'!A:L,3,FALSE)</f>
        <v>sandwichs</v>
      </c>
      <c r="D10" s="401">
        <f>VLOOKUP($N10,'BDD agribalyse'!$A:$L,5,FALSE)</f>
        <v>2.42</v>
      </c>
      <c r="E10" s="401">
        <f>VLOOKUP($N10,'BDD agribalyse'!$A:$L,6,FALSE)</f>
        <v>3.2502141</v>
      </c>
      <c r="F10" s="401">
        <f>VLOOKUP($N10,'BDD agribalyse'!$A:$L,7,FALSE)</f>
        <v>0.7019261</v>
      </c>
      <c r="G10" s="401">
        <f>VLOOKUP($N10,'BDD agribalyse'!$A:$L,8,FALSE)</f>
        <v>0.27733664000000002</v>
      </c>
      <c r="H10" s="401">
        <f>VLOOKUP($N10,'BDD agribalyse'!$A:$L,9,FALSE)</f>
        <v>0.25546373</v>
      </c>
      <c r="I10" s="401">
        <f>VLOOKUP($N10,'BDD agribalyse'!$A:$L,10,FALSE)</f>
        <v>3.7768032999999999E-2</v>
      </c>
      <c r="J10" s="401">
        <f>VLOOKUP($N10,'BDD agribalyse'!$A:$L,11,FALSE)</f>
        <v>9.2564276000000001E-2</v>
      </c>
      <c r="K10" s="401">
        <f>VLOOKUP($N10,'BDD agribalyse'!$A:$L,12,FALSE)</f>
        <v>4.6152728789999999</v>
      </c>
      <c r="L10" s="84">
        <f t="shared" si="1"/>
        <v>4.4875410139999996</v>
      </c>
      <c r="M10" s="87" t="s">
        <v>629</v>
      </c>
      <c r="N10" s="398" t="s">
        <v>1153</v>
      </c>
    </row>
    <row r="11" spans="1:14" ht="14.5">
      <c r="A11" s="404" t="s">
        <v>1154</v>
      </c>
      <c r="B11" s="400" t="s">
        <v>323</v>
      </c>
      <c r="C11" s="400" t="str">
        <f>VLOOKUP(N20,'BDD agribalyse'!A:L,3,FALSE)</f>
        <v>sandwichs</v>
      </c>
      <c r="D11" s="401">
        <f>VLOOKUP($N11,'BDD agribalyse'!$A:$L,5,FALSE)</f>
        <v>2.2582292994679944</v>
      </c>
      <c r="E11" s="401">
        <f>VLOOKUP($N11,'BDD agribalyse'!$A:$L,6,FALSE)</f>
        <v>1.1099087999999999</v>
      </c>
      <c r="F11" s="401">
        <f>VLOOKUP($N11,'BDD agribalyse'!$A:$L,7,FALSE)</f>
        <v>0.55318135000000002</v>
      </c>
      <c r="G11" s="401">
        <f>VLOOKUP($N11,'BDD agribalyse'!$A:$L,8,FALSE)</f>
        <v>0.27841231999999999</v>
      </c>
      <c r="H11" s="401">
        <f>VLOOKUP($N11,'BDD agribalyse'!$A:$L,9,FALSE)</f>
        <v>0.18611522</v>
      </c>
      <c r="I11" s="401">
        <f>VLOOKUP($N11,'BDD agribalyse'!$A:$L,10,FALSE)</f>
        <v>3.7768832000000002E-2</v>
      </c>
      <c r="J11" s="401">
        <f>VLOOKUP($N11,'BDD agribalyse'!$A:$L,11,FALSE)</f>
        <v>9.2564276000000001E-2</v>
      </c>
      <c r="K11" s="401">
        <f>VLOOKUP($N11,'BDD agribalyse'!$A:$L,12,FALSE)</f>
        <v>2.2579507979999995</v>
      </c>
      <c r="L11" s="84">
        <f t="shared" si="1"/>
        <v>2.1648931879999997</v>
      </c>
      <c r="M11" s="87" t="s">
        <v>629</v>
      </c>
      <c r="N11" s="398" t="s">
        <v>1154</v>
      </c>
    </row>
    <row r="12" spans="1:14">
      <c r="A12" s="399" t="s">
        <v>649</v>
      </c>
      <c r="B12" s="400" t="s">
        <v>323</v>
      </c>
      <c r="C12" s="400" t="s">
        <v>650</v>
      </c>
      <c r="D12" s="401">
        <v>3.02</v>
      </c>
      <c r="E12" s="401">
        <v>9.1338418000000008</v>
      </c>
      <c r="F12" s="401">
        <v>0.47276435</v>
      </c>
      <c r="G12" s="401">
        <v>9.9850469999999997E-2</v>
      </c>
      <c r="H12" s="401">
        <v>0.27203726</v>
      </c>
      <c r="I12" s="401">
        <v>1.5675970000000001E-2</v>
      </c>
      <c r="J12" s="401">
        <v>0</v>
      </c>
      <c r="K12" s="401">
        <f>SUM(E12:J12)</f>
        <v>9.9941698500000005</v>
      </c>
      <c r="L12" s="84">
        <f t="shared" si="1"/>
        <v>9.8581512199999999</v>
      </c>
      <c r="M12" s="403" t="s">
        <v>649</v>
      </c>
    </row>
    <row r="13" spans="1:14">
      <c r="A13" s="82" t="s">
        <v>656</v>
      </c>
      <c r="B13" s="83" t="s">
        <v>653</v>
      </c>
      <c r="C13" s="83" t="s">
        <v>657</v>
      </c>
      <c r="D13" s="84">
        <v>3.18</v>
      </c>
      <c r="E13" s="84">
        <v>0.35046445999999998</v>
      </c>
      <c r="F13" s="84">
        <v>5.0624010999999997E-2</v>
      </c>
      <c r="G13" s="84">
        <v>0.47782284000000003</v>
      </c>
      <c r="H13" s="84">
        <v>0.30982659000000001</v>
      </c>
      <c r="I13" s="84">
        <v>3.5907992E-2</v>
      </c>
      <c r="J13" s="84">
        <v>6.6736979E-3</v>
      </c>
      <c r="K13" s="84">
        <f>SUM(E13:J13)</f>
        <v>1.2313195909000001</v>
      </c>
      <c r="L13" s="84">
        <f t="shared" si="1"/>
        <v>1.0764062959</v>
      </c>
      <c r="M13" s="88" t="s">
        <v>655</v>
      </c>
    </row>
    <row r="14" spans="1:14">
      <c r="A14" s="399" t="s">
        <v>630</v>
      </c>
      <c r="B14" s="400" t="s">
        <v>323</v>
      </c>
      <c r="C14" s="400" t="s">
        <v>631</v>
      </c>
      <c r="D14" s="401">
        <f>AVERAGEIF('BDD agribalyse'!$C$3:$C$2520,'BDD FE Alim'!$C14,'BDD agribalyse'!$E$3:$E$2520)</f>
        <v>2.5961111111111084</v>
      </c>
      <c r="E14" s="401">
        <f>AVERAGEIF('BDD agribalyse'!$C$3:$C$2520,'BDD FE Alim'!$C14,'BDD agribalyse'!$F$3:$F$2520)</f>
        <v>7.7671835273611141</v>
      </c>
      <c r="F14" s="401">
        <f>AVERAGEIF('BDD agribalyse'!$C$3:$C$2520,'BDD FE Alim'!$C14,'BDD agribalyse'!$G$3:$G$2520)</f>
        <v>0.70785704653472259</v>
      </c>
      <c r="G14" s="401">
        <f>AVERAGEIF('BDD agribalyse'!$C$3:$C$2520,'BDD FE Alim'!$C14,'BDD agribalyse'!$H$3:$H$2520)</f>
        <v>0.34700377812500016</v>
      </c>
      <c r="H14" s="401">
        <f>AVERAGEIF('BDD agribalyse'!$C$3:$C$2520,'BDD FE Alim'!$C14,'BDD agribalyse'!$I$3:$I$2520)</f>
        <v>0.21644826194444461</v>
      </c>
      <c r="I14" s="401">
        <f>AVERAGEIF('BDD agribalyse'!$C$3:$C$2520,'BDD FE Alim'!$C14,'BDD agribalyse'!$J$3:$J$2520)</f>
        <v>3.6517127874999923E-2</v>
      </c>
      <c r="J14" s="401">
        <f>AVERAGEIF('BDD agribalyse'!$C$3:$C$2520,'BDD FE Alim'!$C14,'BDD agribalyse'!$K$3:$K$2520)</f>
        <v>4.803661812291677E-2</v>
      </c>
      <c r="K14" s="401">
        <f>AVERAGEIF('BDD agribalyse'!$C$3:$C$2520,'BDD FE Alim'!$C14,'BDD agribalyse'!$L$3:$L$2520)</f>
        <v>9.1230463599631904</v>
      </c>
      <c r="L14" s="84">
        <f t="shared" si="1"/>
        <v>9.0148222289909672</v>
      </c>
      <c r="M14" s="402" t="s">
        <v>632</v>
      </c>
    </row>
    <row r="15" spans="1:14">
      <c r="A15" s="82" t="s">
        <v>627</v>
      </c>
      <c r="B15" s="83" t="s">
        <v>323</v>
      </c>
      <c r="C15" s="83" t="s">
        <v>628</v>
      </c>
      <c r="D15" s="84">
        <v>2.4500000000000002</v>
      </c>
      <c r="E15" s="84">
        <v>0.82537492999999995</v>
      </c>
      <c r="F15" s="84">
        <v>0.2312449</v>
      </c>
      <c r="G15" s="84">
        <v>0.28118162000000002</v>
      </c>
      <c r="H15" s="84">
        <v>0.18400438</v>
      </c>
      <c r="I15" s="84">
        <v>1.9444221000000001E-2</v>
      </c>
      <c r="J15" s="84">
        <v>0</v>
      </c>
      <c r="K15" s="84">
        <v>1.541250051</v>
      </c>
      <c r="L15" s="84">
        <f t="shared" si="1"/>
        <v>1.4492478609999999</v>
      </c>
      <c r="M15" s="87" t="s">
        <v>629</v>
      </c>
    </row>
    <row r="16" spans="1:14" ht="14.5">
      <c r="A16" s="404" t="s">
        <v>1397</v>
      </c>
      <c r="B16" s="400" t="s">
        <v>323</v>
      </c>
      <c r="C16" s="400" t="str">
        <f>VLOOKUP(N8,'BDD agribalyse'!A:L,3,FALSE)</f>
        <v>confiseries non chocolatées</v>
      </c>
      <c r="D16" s="401">
        <f>VLOOKUP($N16,'BDD agribalyse'!$A:$L,5,FALSE)</f>
        <v>2.91</v>
      </c>
      <c r="E16" s="401">
        <f>VLOOKUP($N16,'BDD agribalyse'!$A:$L,6,FALSE)</f>
        <v>8.5822707000000005</v>
      </c>
      <c r="F16" s="401">
        <f>VLOOKUP($N16,'BDD agribalyse'!$A:$L,7,FALSE)</f>
        <v>0.57571437000000003</v>
      </c>
      <c r="G16" s="401">
        <f>VLOOKUP($N16,'BDD agribalyse'!$A:$L,8,FALSE)</f>
        <v>0.10402936</v>
      </c>
      <c r="H16" s="401">
        <f>VLOOKUP($N16,'BDD agribalyse'!$A:$L,9,FALSE)</f>
        <v>0.31376546999999999</v>
      </c>
      <c r="I16" s="401">
        <f>VLOOKUP($N16,'BDD agribalyse'!$A:$L,10,FALSE)</f>
        <v>1.7263204000000001E-2</v>
      </c>
      <c r="J16" s="401">
        <f>VLOOKUP($N16,'BDD agribalyse'!$A:$L,11,FALSE)</f>
        <v>0</v>
      </c>
      <c r="K16" s="401">
        <f>VLOOKUP($N16,'BDD agribalyse'!$A:$L,12,FALSE)</f>
        <v>9.5930431040000013</v>
      </c>
      <c r="L16" s="84">
        <f t="shared" si="1"/>
        <v>9.4361603690000013</v>
      </c>
      <c r="M16" s="87" t="s">
        <v>629</v>
      </c>
      <c r="N16" s="398" t="s">
        <v>1397</v>
      </c>
    </row>
    <row r="17" spans="1:14" ht="14.5">
      <c r="A17" s="404" t="s">
        <v>1410</v>
      </c>
      <c r="B17" s="400" t="s">
        <v>323</v>
      </c>
      <c r="C17" s="400" t="str">
        <f>VLOOKUP(N9,'BDD agribalyse'!A:L,3,FALSE)</f>
        <v>gâteaux et pâtisseries</v>
      </c>
      <c r="D17" s="401">
        <f>VLOOKUP($N17,'BDD agribalyse'!$A:$L,5,FALSE)</f>
        <v>2.2000000000000002</v>
      </c>
      <c r="E17" s="401">
        <f>VLOOKUP($N17,'BDD agribalyse'!$A:$L,6,FALSE)</f>
        <v>3.1816352999999999</v>
      </c>
      <c r="F17" s="401">
        <f>VLOOKUP($N17,'BDD agribalyse'!$A:$L,7,FALSE)</f>
        <v>0.54086276</v>
      </c>
      <c r="G17" s="401">
        <f>VLOOKUP($N17,'BDD agribalyse'!$A:$L,8,FALSE)</f>
        <v>0.10984827</v>
      </c>
      <c r="H17" s="401">
        <f>VLOOKUP($N17,'BDD agribalyse'!$A:$L,9,FALSE)</f>
        <v>0.21088666</v>
      </c>
      <c r="I17" s="401">
        <f>VLOOKUP($N17,'BDD agribalyse'!$A:$L,10,FALSE)</f>
        <v>1.9437894000000001E-2</v>
      </c>
      <c r="J17" s="401">
        <f>VLOOKUP($N17,'BDD agribalyse'!$A:$L,11,FALSE)</f>
        <v>0</v>
      </c>
      <c r="K17" s="401">
        <f>VLOOKUP($N17,'BDD agribalyse'!$A:$L,12,FALSE)</f>
        <v>4.0626708840000001</v>
      </c>
      <c r="L17" s="84">
        <f t="shared" si="1"/>
        <v>3.9572275540000001</v>
      </c>
      <c r="M17" s="87" t="s">
        <v>629</v>
      </c>
      <c r="N17" s="398" t="s">
        <v>1410</v>
      </c>
    </row>
    <row r="18" spans="1:14">
      <c r="A18" s="82" t="s">
        <v>667</v>
      </c>
      <c r="B18" s="83" t="s">
        <v>323</v>
      </c>
      <c r="C18" s="83" t="s">
        <v>668</v>
      </c>
      <c r="D18" s="84">
        <v>2.8</v>
      </c>
      <c r="E18" s="84">
        <v>0.96313245999999997</v>
      </c>
      <c r="F18" s="84">
        <v>0.21510898000000001</v>
      </c>
      <c r="G18" s="84">
        <v>0.28122774</v>
      </c>
      <c r="H18" s="84">
        <v>0.12688025</v>
      </c>
      <c r="I18" s="84">
        <v>1.9437894000000001E-2</v>
      </c>
      <c r="J18" s="84">
        <v>0</v>
      </c>
      <c r="K18" s="84">
        <f>SUM(E18:H18,I18:J18)</f>
        <v>1.6057873239999998</v>
      </c>
      <c r="L18" s="84">
        <f t="shared" si="1"/>
        <v>1.5423471989999997</v>
      </c>
      <c r="M18" s="88" t="s">
        <v>655</v>
      </c>
    </row>
    <row r="19" spans="1:14" ht="14.5">
      <c r="A19" s="404" t="s">
        <v>3680</v>
      </c>
      <c r="B19" s="400" t="s">
        <v>323</v>
      </c>
      <c r="C19" s="400" t="str">
        <f>VLOOKUP(N35,'BDD agribalyse'!A:L,3,FALSE)</f>
        <v>pains et viennoiseries</v>
      </c>
      <c r="D19" s="401">
        <f>VLOOKUP($N19,'BDD agribalyse'!$A:$L,5,FALSE)</f>
        <v>2.76</v>
      </c>
      <c r="E19" s="401">
        <f>VLOOKUP($N19,'BDD agribalyse'!$A:$L,6,FALSE)</f>
        <v>0.73511623999999998</v>
      </c>
      <c r="F19" s="401">
        <f>VLOOKUP($N19,'BDD agribalyse'!$A:$L,7,FALSE)</f>
        <v>0.4164233</v>
      </c>
      <c r="G19" s="401">
        <f>VLOOKUP($N19,'BDD agribalyse'!$A:$L,8,FALSE)</f>
        <v>0.28787064000000001</v>
      </c>
      <c r="H19" s="401">
        <f>VLOOKUP($N19,'BDD agribalyse'!$A:$L,9,FALSE)</f>
        <v>0.16154905999999999</v>
      </c>
      <c r="I19" s="401">
        <f>VLOOKUP($N19,'BDD agribalyse'!$A:$L,10,FALSE)</f>
        <v>4.7861880000000002E-3</v>
      </c>
      <c r="J19" s="401">
        <f>VLOOKUP($N19,'BDD agribalyse'!$A:$L,11,FALSE)</f>
        <v>0</v>
      </c>
      <c r="K19" s="401">
        <f>VLOOKUP($N19,'BDD agribalyse'!$A:$L,12,FALSE)</f>
        <v>1.6057454279999999</v>
      </c>
      <c r="L19" s="84">
        <f t="shared" si="1"/>
        <v>1.5249708979999999</v>
      </c>
      <c r="M19" s="87" t="s">
        <v>629</v>
      </c>
      <c r="N19" s="398" t="s">
        <v>1505</v>
      </c>
    </row>
    <row r="20" spans="1:14" ht="14.5">
      <c r="A20" s="404" t="s">
        <v>1507</v>
      </c>
      <c r="B20" s="400" t="s">
        <v>323</v>
      </c>
      <c r="C20" s="400" t="str">
        <f>VLOOKUP(N22,'BDD agribalyse'!A:L,3,FALSE)</f>
        <v>sandwichs</v>
      </c>
      <c r="D20" s="401">
        <f>VLOOKUP($N20,'BDD agribalyse'!$A:$L,5,FALSE)</f>
        <v>2.02</v>
      </c>
      <c r="E20" s="401">
        <f>VLOOKUP($N20,'BDD agribalyse'!$A:$L,6,FALSE)</f>
        <v>3.3551087000000002</v>
      </c>
      <c r="F20" s="401">
        <f>VLOOKUP($N20,'BDD agribalyse'!$A:$L,7,FALSE)</f>
        <v>0.35972340000000003</v>
      </c>
      <c r="G20" s="401">
        <f>VLOOKUP($N20,'BDD agribalyse'!$A:$L,8,FALSE)</f>
        <v>0.38881799</v>
      </c>
      <c r="H20" s="401">
        <f>VLOOKUP($N20,'BDD agribalyse'!$A:$L,9,FALSE)</f>
        <v>0.20674524999999999</v>
      </c>
      <c r="I20" s="401">
        <f>VLOOKUP($N20,'BDD agribalyse'!$A:$L,10,FALSE)</f>
        <v>3.7768032999999999E-2</v>
      </c>
      <c r="J20" s="401">
        <f>VLOOKUP($N20,'BDD agribalyse'!$A:$L,11,FALSE)</f>
        <v>6.6736979E-3</v>
      </c>
      <c r="K20" s="401">
        <f>VLOOKUP($N20,'BDD agribalyse'!$A:$L,12,FALSE)</f>
        <v>4.3548370709000004</v>
      </c>
      <c r="L20" s="84">
        <f t="shared" si="1"/>
        <v>4.2514644458999999</v>
      </c>
      <c r="M20" s="87" t="s">
        <v>629</v>
      </c>
      <c r="N20" s="398" t="s">
        <v>1507</v>
      </c>
    </row>
    <row r="21" spans="1:14">
      <c r="A21" s="399" t="s">
        <v>652</v>
      </c>
      <c r="B21" s="400" t="s">
        <v>653</v>
      </c>
      <c r="C21" s="400" t="s">
        <v>654</v>
      </c>
      <c r="D21" s="401">
        <v>2.97</v>
      </c>
      <c r="E21" s="401">
        <v>4.4520645000000001E-3</v>
      </c>
      <c r="F21" s="401">
        <v>0</v>
      </c>
      <c r="G21" s="401">
        <v>0.14366176</v>
      </c>
      <c r="H21" s="401">
        <f>IF(G21="Oui",VLOOKUP(C21,'BDD FE Alim'!A2:L5,11)*10^-3*#REF!,0)-IF(F21="Non",VLOOKUP(C21,#REF!,7)*10^-3*#REF!,0)</f>
        <v>0</v>
      </c>
      <c r="I21" s="401">
        <v>1.5350219999999999E-2</v>
      </c>
      <c r="J21" s="401">
        <v>9.5338542000000001E-4</v>
      </c>
      <c r="K21" s="401">
        <f>SUM(E21:J21)</f>
        <v>0.16441742992</v>
      </c>
      <c r="L21" s="84">
        <f t="shared" si="1"/>
        <v>0.16441742992</v>
      </c>
      <c r="M21" s="405" t="s">
        <v>655</v>
      </c>
    </row>
    <row r="22" spans="1:14" ht="14.5">
      <c r="A22" s="404" t="s">
        <v>3676</v>
      </c>
      <c r="B22" s="400" t="s">
        <v>323</v>
      </c>
      <c r="C22" s="400" t="str">
        <f>VLOOKUP(N29,'BDD agribalyse'!A:L,3,FALSE)</f>
        <v>sandwichs</v>
      </c>
      <c r="D22" s="401">
        <f>VLOOKUP($N22,'BDD agribalyse'!$A:$L,5,FALSE)</f>
        <v>2.68</v>
      </c>
      <c r="E22" s="401">
        <f>VLOOKUP($N22,'BDD agribalyse'!$A:$L,6,FALSE)</f>
        <v>2.153149</v>
      </c>
      <c r="F22" s="401">
        <f>VLOOKUP($N22,'BDD agribalyse'!$A:$L,7,FALSE)</f>
        <v>0.31407739000000001</v>
      </c>
      <c r="G22" s="401">
        <f>VLOOKUP($N22,'BDD agribalyse'!$A:$L,8,FALSE)</f>
        <v>0.36492656000000001</v>
      </c>
      <c r="H22" s="401">
        <f>VLOOKUP($N22,'BDD agribalyse'!$A:$L,9,FALSE)</f>
        <v>0.22367780000000001</v>
      </c>
      <c r="I22" s="401">
        <f>VLOOKUP($N22,'BDD agribalyse'!$A:$L,10,FALSE)</f>
        <v>3.7768032999999999E-2</v>
      </c>
      <c r="J22" s="401">
        <f>VLOOKUP($N22,'BDD agribalyse'!$A:$L,11,FALSE)</f>
        <v>9.2564276000000001E-2</v>
      </c>
      <c r="K22" s="401">
        <f>VLOOKUP($N22,'BDD agribalyse'!$A:$L,12,FALSE)</f>
        <v>3.1861630590000001</v>
      </c>
      <c r="L22" s="84">
        <f t="shared" si="1"/>
        <v>3.0743241590000001</v>
      </c>
      <c r="M22" s="87" t="s">
        <v>629</v>
      </c>
      <c r="N22" s="398" t="s">
        <v>1736</v>
      </c>
    </row>
    <row r="23" spans="1:14">
      <c r="A23" s="82" t="s">
        <v>648</v>
      </c>
      <c r="B23" s="83" t="s">
        <v>323</v>
      </c>
      <c r="C23" s="83" t="s">
        <v>628</v>
      </c>
      <c r="D23" s="84">
        <v>2.71</v>
      </c>
      <c r="E23" s="84">
        <v>0.23301609000000001</v>
      </c>
      <c r="F23" s="84">
        <v>0.25794214999999998</v>
      </c>
      <c r="G23" s="84">
        <v>0.40034906999999997</v>
      </c>
      <c r="H23" s="84">
        <v>0.36114825</v>
      </c>
      <c r="I23" s="84">
        <v>0.15</v>
      </c>
      <c r="J23" s="84">
        <v>0.12</v>
      </c>
      <c r="K23" s="84">
        <v>1.53</v>
      </c>
      <c r="L23" s="84">
        <f t="shared" si="1"/>
        <v>1.3494258750000001</v>
      </c>
      <c r="M23" s="89" t="s">
        <v>629</v>
      </c>
    </row>
    <row r="24" spans="1:14">
      <c r="A24" s="82" t="s">
        <v>639</v>
      </c>
      <c r="B24" s="83" t="s">
        <v>323</v>
      </c>
      <c r="C24" s="83" t="s">
        <v>640</v>
      </c>
      <c r="D24" s="84">
        <f>AVERAGEIF('BDD agribalyse'!$C$3:$C$2520,'BDD FE Alim'!$C24,'BDD agribalyse'!$E$3:$E$2520)</f>
        <v>2.2527771788146609</v>
      </c>
      <c r="E24" s="84">
        <f>AVERAGEIF('BDD agribalyse'!$C$3:$C$2520,'BDD FE Alim'!$C24,'BDD agribalyse'!$F$3:$F$2520)</f>
        <v>4.7527490339669427</v>
      </c>
      <c r="F24" s="84">
        <f>AVERAGEIF('BDD agribalyse'!$C$3:$C$2520,'BDD FE Alim'!$C24,'BDD agribalyse'!$G$3:$G$2520)</f>
        <v>0.35694043991735541</v>
      </c>
      <c r="G24" s="84">
        <f>AVERAGEIF('BDD agribalyse'!$C$3:$C$2520,'BDD FE Alim'!$C24,'BDD agribalyse'!$H$3:$H$2520)</f>
        <v>0.25902986066115719</v>
      </c>
      <c r="H24" s="84">
        <f>AVERAGEIF('BDD agribalyse'!$C$3:$C$2520,'BDD FE Alim'!$C24,'BDD agribalyse'!$I$3:$I$2520)</f>
        <v>0.21645256809917321</v>
      </c>
      <c r="I24" s="84">
        <f>AVERAGEIF('BDD agribalyse'!$C$3:$C$2520,'BDD FE Alim'!$C24,'BDD agribalyse'!$J$3:$J$2520)</f>
        <v>3.5999596685950395E-2</v>
      </c>
      <c r="J24" s="84">
        <f>AVERAGEIF('BDD agribalyse'!$C$3:$C$2520,'BDD FE Alim'!$C24,'BDD agribalyse'!$K$3:$K$2520)</f>
        <v>6.6736979000000191E-3</v>
      </c>
      <c r="K24" s="84">
        <f>AVERAGEIF('BDD agribalyse'!$C$3:$C$2520,'BDD FE Alim'!$C24,'BDD agribalyse'!$L$3:$L$2520)</f>
        <v>5.6278451972305819</v>
      </c>
      <c r="L24" s="84">
        <f t="shared" si="1"/>
        <v>5.5196189131809952</v>
      </c>
      <c r="M24" s="88" t="s">
        <v>641</v>
      </c>
    </row>
    <row r="25" spans="1:14">
      <c r="A25" s="82" t="s">
        <v>633</v>
      </c>
      <c r="B25" s="83" t="s">
        <v>323</v>
      </c>
      <c r="C25" s="83" t="s">
        <v>634</v>
      </c>
      <c r="D25" s="84">
        <f>AVERAGEIF('BDD agribalyse'!$C$3:$C$2520,'BDD FE Alim'!$C25,'BDD agribalyse'!$E$3:$E$2520)</f>
        <v>2.6062618853136112</v>
      </c>
      <c r="E25" s="84">
        <f>AVERAGEIF('BDD agribalyse'!$C$3:$C$2520,'BDD FE Alim'!$C25,'BDD agribalyse'!$F$3:$F$2520)</f>
        <v>0.42714389303367356</v>
      </c>
      <c r="F25" s="84">
        <f>AVERAGEIF('BDD agribalyse'!$C$3:$C$2520,'BDD FE Alim'!$C25,'BDD agribalyse'!$G$3:$G$2520)</f>
        <v>0.1260761198622449</v>
      </c>
      <c r="G25" s="84">
        <f>AVERAGEIF('BDD agribalyse'!$C$3:$C$2520,'BDD FE Alim'!$C25,'BDD agribalyse'!$H$3:$H$2520)</f>
        <v>0.1168389212244898</v>
      </c>
      <c r="H25" s="84">
        <f>AVERAGEIF('BDD agribalyse'!$C$3:$C$2520,'BDD FE Alim'!$C25,'BDD agribalyse'!$I$3:$I$2520)</f>
        <v>0.39396059826530633</v>
      </c>
      <c r="I25" s="84">
        <f>AVERAGEIF('BDD agribalyse'!$C$3:$C$2520,'BDD FE Alim'!$C25,'BDD agribalyse'!$J$3:$J$2520)</f>
        <v>1.986457371428571E-2</v>
      </c>
      <c r="J25" s="84">
        <f>AVERAGEIF('BDD agribalyse'!$C$3:$C$2520,'BDD FE Alim'!$C25,'BDD agribalyse'!$K$3:$K$2520)</f>
        <v>5.8346253920408153E-2</v>
      </c>
      <c r="K25" s="84">
        <f>AVERAGEIF('BDD agribalyse'!$C$3:$C$2520,'BDD FE Alim'!$C25,'BDD agribalyse'!$L$3:$L$2520)</f>
        <v>1.1422303600204082</v>
      </c>
      <c r="L25" s="84">
        <f t="shared" ref="L25:L54" si="2">K25-H25/2</f>
        <v>0.94525006088775509</v>
      </c>
      <c r="M25" s="88" t="s">
        <v>635</v>
      </c>
    </row>
    <row r="26" spans="1:14">
      <c r="A26" s="399" t="s">
        <v>636</v>
      </c>
      <c r="B26" s="400" t="s">
        <v>323</v>
      </c>
      <c r="C26" s="400" t="s">
        <v>637</v>
      </c>
      <c r="D26" s="401">
        <f>AVERAGEIF('BDD agribalyse'!$C$3:$C$2520,'BDD FE Alim'!$C26,'BDD agribalyse'!$E$3:$E$2520)</f>
        <v>3.7944897959183681</v>
      </c>
      <c r="E26" s="401">
        <f>AVERAGEIF('BDD agribalyse'!$C$3:$C$2520,'BDD FE Alim'!$C26,'BDD agribalyse'!$F$3:$F$2520)</f>
        <v>2.4960227128571426</v>
      </c>
      <c r="F26" s="401">
        <f>AVERAGEIF('BDD agribalyse'!$C$3:$C$2520,'BDD FE Alim'!$C26,'BDD agribalyse'!$G$3:$G$2520)</f>
        <v>0.19787360151428571</v>
      </c>
      <c r="G26" s="401">
        <f>AVERAGEIF('BDD agribalyse'!$C$3:$C$2520,'BDD FE Alim'!$C26,'BDD agribalyse'!$H$3:$H$2520)</f>
        <v>0.35736693938775532</v>
      </c>
      <c r="H26" s="401">
        <f>AVERAGEIF('BDD agribalyse'!$C$3:$C$2520,'BDD FE Alim'!$C26,'BDD agribalyse'!$I$3:$I$2520)</f>
        <v>0.2896664426530613</v>
      </c>
      <c r="I26" s="401">
        <f>AVERAGEIF('BDD agribalyse'!$C$3:$C$2520,'BDD FE Alim'!$C26,'BDD agribalyse'!$J$3:$J$2520)</f>
        <v>3.1103367163265318E-2</v>
      </c>
      <c r="J26" s="401">
        <f>AVERAGEIF('BDD agribalyse'!$C$3:$C$2520,'BDD FE Alim'!$C26,'BDD agribalyse'!$K$3:$K$2520)</f>
        <v>0.1255798736122449</v>
      </c>
      <c r="K26" s="401">
        <f>AVERAGEIF('BDD agribalyse'!$C$3:$C$2520,'BDD FE Alim'!$C26,'BDD agribalyse'!$L$3:$L$2520)</f>
        <v>3.4976129371877556</v>
      </c>
      <c r="L26" s="84">
        <f t="shared" si="2"/>
        <v>3.3527797158612249</v>
      </c>
      <c r="M26" s="406" t="s">
        <v>638</v>
      </c>
    </row>
    <row r="27" spans="1:14">
      <c r="A27" s="399" t="s">
        <v>3683</v>
      </c>
      <c r="B27" s="400" t="s">
        <v>323</v>
      </c>
      <c r="C27" s="400" t="s">
        <v>668</v>
      </c>
      <c r="D27" s="401">
        <f>VLOOKUP($N27,'BDD agribalyse'!$A:$L,5,FALSE)</f>
        <v>2.13</v>
      </c>
      <c r="E27" s="401">
        <f>VLOOKUP($N27,'BDD agribalyse'!$A:$L,6,FALSE)</f>
        <v>1.9264102000000001</v>
      </c>
      <c r="F27" s="401">
        <f>VLOOKUP($N27,'BDD agribalyse'!$A:$L,7,FALSE)</f>
        <v>0.22423821999999999</v>
      </c>
      <c r="G27" s="401">
        <f>VLOOKUP($N27,'BDD agribalyse'!$A:$L,8,FALSE)</f>
        <v>0.28784338999999998</v>
      </c>
      <c r="H27" s="401">
        <f>VLOOKUP($N27,'BDD agribalyse'!$A:$L,9,FALSE)</f>
        <v>0.12946376000000001</v>
      </c>
      <c r="I27" s="401">
        <f>VLOOKUP($N27,'BDD agribalyse'!$A:$L,10,FALSE)</f>
        <v>1.9437894000000001E-2</v>
      </c>
      <c r="J27" s="401">
        <f>VLOOKUP($N27,'BDD agribalyse'!$A:$L,11,FALSE)</f>
        <v>0</v>
      </c>
      <c r="K27" s="401">
        <f>VLOOKUP($N27,'BDD agribalyse'!$A:$L,12,FALSE)</f>
        <v>2.5873934640000003</v>
      </c>
      <c r="L27" s="84">
        <f t="shared" ref="L27:L38" si="3">K27-H27/2</f>
        <v>2.5226615840000002</v>
      </c>
      <c r="M27" s="406" t="s">
        <v>655</v>
      </c>
      <c r="N27" s="86" t="s">
        <v>669</v>
      </c>
    </row>
    <row r="28" spans="1:14">
      <c r="A28" s="399" t="s">
        <v>3684</v>
      </c>
      <c r="B28" s="400" t="s">
        <v>323</v>
      </c>
      <c r="C28" s="400" t="s">
        <v>671</v>
      </c>
      <c r="D28" s="401">
        <f>VLOOKUP($N28,'BDD agribalyse'!$A:$L,5,FALSE)</f>
        <v>3.45</v>
      </c>
      <c r="E28" s="401">
        <f>VLOOKUP($N28,'BDD agribalyse'!$A:$L,6,FALSE)</f>
        <v>1.0539407999999999</v>
      </c>
      <c r="F28" s="401">
        <f>VLOOKUP($N28,'BDD agribalyse'!$A:$L,7,FALSE)</f>
        <v>0.21512698</v>
      </c>
      <c r="G28" s="401">
        <f>VLOOKUP($N28,'BDD agribalyse'!$A:$L,8,FALSE)</f>
        <v>0.18042667000000001</v>
      </c>
      <c r="H28" s="401">
        <f>VLOOKUP($N28,'BDD agribalyse'!$A:$L,9,FALSE)</f>
        <v>0.19674195</v>
      </c>
      <c r="I28" s="401">
        <f>VLOOKUP($N28,'BDD agribalyse'!$A:$L,10,FALSE)</f>
        <v>6.5229756E-2</v>
      </c>
      <c r="J28" s="401">
        <f>VLOOKUP($N28,'BDD agribalyse'!$A:$L,11,FALSE)</f>
        <v>2.5251829999999999E-2</v>
      </c>
      <c r="K28" s="401">
        <f>VLOOKUP($N28,'BDD agribalyse'!$A:$L,12,FALSE)</f>
        <v>1.7367179859999999</v>
      </c>
      <c r="L28" s="84">
        <f t="shared" si="3"/>
        <v>1.638347011</v>
      </c>
      <c r="M28" s="406" t="s">
        <v>655</v>
      </c>
      <c r="N28" s="86" t="s">
        <v>670</v>
      </c>
    </row>
    <row r="29" spans="1:14" ht="14.5">
      <c r="A29" s="404" t="s">
        <v>1978</v>
      </c>
      <c r="B29" s="400" t="s">
        <v>323</v>
      </c>
      <c r="C29" s="400" t="str">
        <f>VLOOKUP(N17,'BDD agribalyse'!A:L,3,FALSE)</f>
        <v>céréales de petit-déjeuner et biscuits</v>
      </c>
      <c r="D29" s="401">
        <f>VLOOKUP($N29,'BDD agribalyse'!$A:$L,5,FALSE)</f>
        <v>2.23</v>
      </c>
      <c r="E29" s="401">
        <f>VLOOKUP($N29,'BDD agribalyse'!$A:$L,6,FALSE)</f>
        <v>6.0167305999999998</v>
      </c>
      <c r="F29" s="401">
        <f>VLOOKUP($N29,'BDD agribalyse'!$A:$L,7,FALSE)</f>
        <v>0.37506233999999999</v>
      </c>
      <c r="G29" s="401">
        <f>VLOOKUP($N29,'BDD agribalyse'!$A:$L,8,FALSE)</f>
        <v>0.311552</v>
      </c>
      <c r="H29" s="401">
        <f>VLOOKUP($N29,'BDD agribalyse'!$A:$L,9,FALSE)</f>
        <v>0.20884114000000001</v>
      </c>
      <c r="I29" s="401">
        <f>VLOOKUP($N29,'BDD agribalyse'!$A:$L,10,FALSE)</f>
        <v>3.7768032999999999E-2</v>
      </c>
      <c r="J29" s="401">
        <f>VLOOKUP($N29,'BDD agribalyse'!$A:$L,11,FALSE)</f>
        <v>9.2564276000000001E-2</v>
      </c>
      <c r="K29" s="401">
        <f>VLOOKUP($N29,'BDD agribalyse'!$A:$L,12,FALSE)</f>
        <v>7.0425183889999996</v>
      </c>
      <c r="L29" s="84">
        <f t="shared" si="3"/>
        <v>6.9380978189999993</v>
      </c>
      <c r="M29" s="87" t="s">
        <v>629</v>
      </c>
      <c r="N29" s="398" t="s">
        <v>1978</v>
      </c>
    </row>
    <row r="30" spans="1:14">
      <c r="A30" s="82" t="s">
        <v>663</v>
      </c>
      <c r="B30" s="83" t="s">
        <v>653</v>
      </c>
      <c r="C30" s="83" t="s">
        <v>650</v>
      </c>
      <c r="D30" s="84">
        <f>AVERAGE('BDD agribalyse'!E1225:E1242)</f>
        <v>2.2659348170460869</v>
      </c>
      <c r="E30" s="84">
        <f>AVERAGE('BDD agribalyse'!F1225:F1242)</f>
        <v>0.49689783133333321</v>
      </c>
      <c r="F30" s="84">
        <f>AVERAGE('BDD agribalyse'!G1225:G1242)</f>
        <v>0.16247106755555552</v>
      </c>
      <c r="G30" s="84">
        <f>AVERAGE('BDD agribalyse'!H1225:H1242)</f>
        <v>0.36740027061111108</v>
      </c>
      <c r="H30" s="84">
        <f>AVERAGE('BDD agribalyse'!I1225:I1242)</f>
        <v>0.23834891111111112</v>
      </c>
      <c r="I30" s="84">
        <f>AVERAGE('BDD agribalyse'!J1225:J1242)</f>
        <v>1.9385990666666672E-2</v>
      </c>
      <c r="J30" s="84">
        <f>AVERAGE('BDD agribalyse'!K1225:K1242)</f>
        <v>1.4830439777777779E-3</v>
      </c>
      <c r="K30" s="84">
        <f>AVERAGE('BDD agribalyse'!L1225:L1242)</f>
        <v>1.2859871152555553</v>
      </c>
      <c r="L30" s="84">
        <f t="shared" si="3"/>
        <v>1.1668126596999997</v>
      </c>
      <c r="M30" s="85" t="s">
        <v>664</v>
      </c>
    </row>
    <row r="31" spans="1:14">
      <c r="A31" s="399" t="s">
        <v>3397</v>
      </c>
      <c r="B31" s="400" t="s">
        <v>653</v>
      </c>
      <c r="C31" s="400" t="s">
        <v>2075</v>
      </c>
      <c r="D31" s="401">
        <v>2.4700000000000002</v>
      </c>
      <c r="E31" s="401">
        <v>0.92988042000000004</v>
      </c>
      <c r="F31" s="401">
        <v>1.123937E-2</v>
      </c>
      <c r="G31" s="401">
        <v>0.14806368</v>
      </c>
      <c r="H31" s="401">
        <v>0.20132998999999999</v>
      </c>
      <c r="I31" s="401">
        <v>1.5701413000000001E-2</v>
      </c>
      <c r="J31" s="401">
        <v>0</v>
      </c>
      <c r="K31" s="401">
        <v>1.3062148730000001</v>
      </c>
      <c r="L31" s="401">
        <f t="shared" si="3"/>
        <v>1.205549878</v>
      </c>
      <c r="M31" s="406" t="s">
        <v>3398</v>
      </c>
    </row>
    <row r="32" spans="1:14">
      <c r="A32" s="82" t="s">
        <v>672</v>
      </c>
      <c r="B32" s="83" t="s">
        <v>673</v>
      </c>
      <c r="C32" s="83" t="s">
        <v>674</v>
      </c>
      <c r="D32" s="84">
        <f>AVERAGE('BDD agribalyse'!E2108,'BDD agribalyse'!E2109,'BDD agribalyse'!E2116)</f>
        <v>2.2466666666666666</v>
      </c>
      <c r="E32" s="84">
        <f>AVERAGE('BDD agribalyse'!F2108,'BDD agribalyse'!F2109,'BDD agribalyse'!F2116)</f>
        <v>1.5924970033333334</v>
      </c>
      <c r="F32" s="84">
        <f>AVERAGE('BDD agribalyse'!G2108,'BDD agribalyse'!G2109,'BDD agribalyse'!G2116)</f>
        <v>0.32373878333333334</v>
      </c>
      <c r="G32" s="84">
        <f>AVERAGE('BDD agribalyse'!H2108,'BDD agribalyse'!H2109,'BDD agribalyse'!H2116)</f>
        <v>0.27086011333333332</v>
      </c>
      <c r="H32" s="84">
        <f>AVERAGE('BDD agribalyse'!I2108,'BDD agribalyse'!I2109,'BDD agribalyse'!I2116)</f>
        <v>0.22010280000000002</v>
      </c>
      <c r="I32" s="84">
        <f>AVERAGE('BDD agribalyse'!J2108,'BDD agribalyse'!J2109,'BDD agribalyse'!J2116)</f>
        <v>3.7768032999999999E-2</v>
      </c>
      <c r="J32" s="84">
        <f>AVERAGE('BDD agribalyse'!K2108,'BDD agribalyse'!K2109,'BDD agribalyse'!K2116)</f>
        <v>6.6736979E-3</v>
      </c>
      <c r="K32" s="84">
        <f>AVERAGE('BDD agribalyse'!L2108,'BDD agribalyse'!L2109,'BDD agribalyse'!L2116)</f>
        <v>2.4516404308999999</v>
      </c>
      <c r="L32" s="84">
        <f t="shared" si="3"/>
        <v>2.3415890308999998</v>
      </c>
      <c r="M32" s="88" t="s">
        <v>3379</v>
      </c>
    </row>
    <row r="33" spans="1:14">
      <c r="A33" s="399" t="s">
        <v>675</v>
      </c>
      <c r="B33" s="400" t="s">
        <v>673</v>
      </c>
      <c r="C33" s="400" t="s">
        <v>674</v>
      </c>
      <c r="D33" s="401">
        <f>AVERAGE('BDD agribalyse'!E2110:E2115,'BDD agribalyse'!E2117:E2126,'BDD agribalyse'!E2132)</f>
        <v>2.2147058823529409</v>
      </c>
      <c r="E33" s="401">
        <f>AVERAGE('BDD agribalyse'!F2110:F2115,'BDD agribalyse'!F2117:F2126,'BDD agribalyse'!F2132)</f>
        <v>3.3428013647058825</v>
      </c>
      <c r="F33" s="401">
        <f>AVERAGE('BDD agribalyse'!G2110:G2115,'BDD agribalyse'!G2117:G2126,'BDD agribalyse'!G2132)</f>
        <v>0.3606486417647059</v>
      </c>
      <c r="G33" s="401">
        <f>AVERAGE('BDD agribalyse'!H2110:H2115,'BDD agribalyse'!H2117:H2126,'BDD agribalyse'!H2132)</f>
        <v>0.33831192235294122</v>
      </c>
      <c r="H33" s="401">
        <f>AVERAGE('BDD agribalyse'!I2110:I2115,'BDD agribalyse'!I2117:I2126,'BDD agribalyse'!I2132)</f>
        <v>0.23492247999999999</v>
      </c>
      <c r="I33" s="401">
        <f>AVERAGE('BDD agribalyse'!J2110:J2115,'BDD agribalyse'!J2117:J2126,'BDD agribalyse'!J2132)</f>
        <v>3.7768032999999993E-2</v>
      </c>
      <c r="J33" s="401">
        <f>AVERAGE('BDD agribalyse'!K2110:K2115,'BDD agribalyse'!K2117:K2126,'BDD agribalyse'!K2132)</f>
        <v>6.6736978999999983E-3</v>
      </c>
      <c r="K33" s="401">
        <f>AVERAGE('BDD agribalyse'!L2110:L2115,'BDD agribalyse'!L2117:L2126,'BDD agribalyse'!L2132)</f>
        <v>4.3211261397235292</v>
      </c>
      <c r="L33" s="84">
        <f t="shared" si="3"/>
        <v>4.2036648997235293</v>
      </c>
      <c r="M33" s="407" t="s">
        <v>3380</v>
      </c>
    </row>
    <row r="34" spans="1:14">
      <c r="A34" s="399" t="s">
        <v>704</v>
      </c>
      <c r="B34" s="400" t="s">
        <v>323</v>
      </c>
      <c r="C34" s="400" t="s">
        <v>861</v>
      </c>
      <c r="D34" s="401">
        <v>1.95</v>
      </c>
      <c r="E34" s="401">
        <v>0.38491878000000002</v>
      </c>
      <c r="F34" s="401">
        <v>0.17831667000000001</v>
      </c>
      <c r="G34" s="401">
        <v>1.3430998E-2</v>
      </c>
      <c r="H34" s="401">
        <v>0.10712652</v>
      </c>
      <c r="I34" s="401">
        <v>4.7861880000000002E-3</v>
      </c>
      <c r="J34" s="401">
        <v>0</v>
      </c>
      <c r="K34" s="401">
        <v>0.68857915600000008</v>
      </c>
      <c r="L34" s="84">
        <f t="shared" si="3"/>
        <v>0.63501589600000008</v>
      </c>
      <c r="M34" s="406" t="s">
        <v>655</v>
      </c>
    </row>
    <row r="35" spans="1:14" ht="14.5">
      <c r="A35" s="404" t="s">
        <v>3681</v>
      </c>
      <c r="B35" s="400" t="s">
        <v>323</v>
      </c>
      <c r="C35" s="400" t="str">
        <f>VLOOKUP(N16,'BDD agribalyse'!A:L,3,FALSE)</f>
        <v>chocolats et produits à base de chocolat</v>
      </c>
      <c r="D35" s="401">
        <f>VLOOKUP($N35,'BDD agribalyse'!$A:$L,5,FALSE)</f>
        <v>2.19</v>
      </c>
      <c r="E35" s="401">
        <f>VLOOKUP($N35,'BDD agribalyse'!$A:$L,6,FALSE)</f>
        <v>4.4157734</v>
      </c>
      <c r="F35" s="401">
        <f>VLOOKUP($N35,'BDD agribalyse'!$A:$L,7,FALSE)</f>
        <v>0.25971158999999999</v>
      </c>
      <c r="G35" s="401">
        <f>VLOOKUP($N35,'BDD agribalyse'!$A:$L,8,FALSE)</f>
        <v>0.28784632999999998</v>
      </c>
      <c r="H35" s="401">
        <f>VLOOKUP($N35,'BDD agribalyse'!$A:$L,9,FALSE)</f>
        <v>0.17206993000000001</v>
      </c>
      <c r="I35" s="401">
        <f>VLOOKUP($N35,'BDD agribalyse'!$A:$L,10,FALSE)</f>
        <v>4.7861880000000002E-3</v>
      </c>
      <c r="J35" s="401">
        <f>VLOOKUP($N35,'BDD agribalyse'!$A:$L,11,FALSE)</f>
        <v>0</v>
      </c>
      <c r="K35" s="401">
        <f>VLOOKUP($N35,'BDD agribalyse'!$A:$L,12,FALSE)</f>
        <v>5.1401874379999999</v>
      </c>
      <c r="L35" s="84">
        <f t="shared" si="3"/>
        <v>5.0541524730000003</v>
      </c>
      <c r="M35" s="87" t="s">
        <v>629</v>
      </c>
      <c r="N35" s="398" t="s">
        <v>2421</v>
      </c>
    </row>
    <row r="36" spans="1:14">
      <c r="A36" s="399" t="s">
        <v>646</v>
      </c>
      <c r="B36" s="400" t="s">
        <v>323</v>
      </c>
      <c r="C36" s="400" t="s">
        <v>644</v>
      </c>
      <c r="D36" s="401">
        <f>AVERAGE('BDD agribalyse'!E1774:E1791)</f>
        <v>2.2966666666666669</v>
      </c>
      <c r="E36" s="401">
        <f>AVERAGE('BDD agribalyse'!F1774:F1791)</f>
        <v>2.2821476000000001</v>
      </c>
      <c r="F36" s="401">
        <f>AVERAGE('BDD agribalyse'!G1774:G1791)</f>
        <v>0.27866645000000001</v>
      </c>
      <c r="G36" s="401">
        <f>AVERAGE('BDD agribalyse'!H1774:H1791)</f>
        <v>0.12715514999999999</v>
      </c>
      <c r="H36" s="401">
        <f>AVERAGE('BDD agribalyse'!I1774:I1791)</f>
        <v>0.24384264555555563</v>
      </c>
      <c r="I36" s="401">
        <f>AVERAGE('BDD agribalyse'!J1774:J1791)</f>
        <v>3.6749691944444433E-2</v>
      </c>
      <c r="J36" s="401">
        <f>AVERAGE('BDD agribalyse'!K1774:K1791)</f>
        <v>8.7421816222222254E-2</v>
      </c>
      <c r="K36" s="401">
        <f>AVERAGE('BDD agribalyse'!L1774:L1791)</f>
        <v>3.0559833537222221</v>
      </c>
      <c r="L36" s="84">
        <f t="shared" si="3"/>
        <v>2.9340620309444443</v>
      </c>
      <c r="M36" s="406" t="s">
        <v>647</v>
      </c>
    </row>
    <row r="37" spans="1:14">
      <c r="A37" s="399" t="s">
        <v>642</v>
      </c>
      <c r="B37" s="400" t="s">
        <v>323</v>
      </c>
      <c r="C37" s="400"/>
      <c r="D37" s="401">
        <f t="shared" ref="D37:K37" si="4">AVERAGE(D6,D15,D14,D24)</f>
        <v>2.4847220724814423</v>
      </c>
      <c r="E37" s="401">
        <f t="shared" si="4"/>
        <v>3.5491377103320141</v>
      </c>
      <c r="F37" s="401">
        <f t="shared" si="4"/>
        <v>0.3985143991130195</v>
      </c>
      <c r="G37" s="401">
        <f t="shared" si="4"/>
        <v>0.29213553469653936</v>
      </c>
      <c r="H37" s="401">
        <f t="shared" si="4"/>
        <v>0.18861246251090444</v>
      </c>
      <c r="I37" s="401">
        <f t="shared" si="4"/>
        <v>2.7849709890237585E-2</v>
      </c>
      <c r="J37" s="401">
        <f t="shared" si="4"/>
        <v>1.3677579005729197E-2</v>
      </c>
      <c r="K37" s="401">
        <f t="shared" si="4"/>
        <v>4.4699273955484431</v>
      </c>
      <c r="L37" s="84">
        <f t="shared" si="3"/>
        <v>4.3756211642929905</v>
      </c>
      <c r="M37" s="406"/>
    </row>
    <row r="38" spans="1:14">
      <c r="A38" s="82" t="s">
        <v>643</v>
      </c>
      <c r="B38" s="83" t="s">
        <v>323</v>
      </c>
      <c r="C38" s="83" t="s">
        <v>644</v>
      </c>
      <c r="D38" s="84">
        <f>'BDD agribalyse'!E1977</f>
        <v>1.93</v>
      </c>
      <c r="E38" s="84">
        <f>'BDD agribalyse'!F1977</f>
        <v>3.4454577</v>
      </c>
      <c r="F38" s="84">
        <f>'BDD agribalyse'!G1977</f>
        <v>0.31370956</v>
      </c>
      <c r="G38" s="84">
        <f>'BDD agribalyse'!H1977</f>
        <v>0.10405617</v>
      </c>
      <c r="H38" s="84">
        <f>'BDD agribalyse'!I1977</f>
        <v>0.21565175</v>
      </c>
      <c r="I38" s="84">
        <f>'BDD agribalyse'!J1977</f>
        <v>3.7768032999999999E-2</v>
      </c>
      <c r="J38" s="84">
        <f>'BDD agribalyse'!K1977</f>
        <v>9.2564276000000001E-2</v>
      </c>
      <c r="K38" s="84">
        <f>AVERAGEIF('BDD agribalyse'!$C$3:$C$2520,'BDD FE Alim'!$C38,'BDD agribalyse'!L8:L2525)</f>
        <v>2.9031619095622223</v>
      </c>
      <c r="L38" s="84">
        <f t="shared" si="3"/>
        <v>2.7953360345622222</v>
      </c>
      <c r="M38" s="88" t="s">
        <v>645</v>
      </c>
    </row>
    <row r="39" spans="1:14">
      <c r="A39" s="92" t="s">
        <v>681</v>
      </c>
      <c r="B39" s="83" t="s">
        <v>673</v>
      </c>
      <c r="C39" s="93"/>
      <c r="D39" s="94"/>
      <c r="E39" s="94"/>
      <c r="F39" s="94"/>
      <c r="G39" s="94"/>
      <c r="H39" s="94"/>
      <c r="I39" s="94"/>
      <c r="J39" s="94"/>
      <c r="K39" s="95">
        <f>AVERAGE(K40:K41)</f>
        <v>1.9989500000000002</v>
      </c>
      <c r="L39" s="95">
        <f>AVERAGE(L41:L62)</f>
        <v>1.785061708502381</v>
      </c>
      <c r="M39" s="91" t="s">
        <v>677</v>
      </c>
    </row>
    <row r="40" spans="1:14" customFormat="1" ht="14.5">
      <c r="A40" s="96" t="s">
        <v>683</v>
      </c>
      <c r="B40" s="97" t="s">
        <v>673</v>
      </c>
      <c r="C40" s="97"/>
      <c r="D40" s="98"/>
      <c r="E40" s="98"/>
      <c r="F40" s="98"/>
      <c r="G40" s="98"/>
      <c r="H40" s="98"/>
      <c r="I40" s="98"/>
      <c r="J40" s="98"/>
      <c r="K40" s="98">
        <f>2367.9*10^-3</f>
        <v>2.3679000000000001</v>
      </c>
      <c r="L40" s="98">
        <f>2236.5*10^-3</f>
        <v>2.2364999999999999</v>
      </c>
      <c r="M40" s="78" t="s">
        <v>677</v>
      </c>
    </row>
    <row r="41" spans="1:14" ht="15.75" customHeight="1">
      <c r="A41" s="399" t="s">
        <v>682</v>
      </c>
      <c r="B41" s="400" t="s">
        <v>673</v>
      </c>
      <c r="C41" s="400"/>
      <c r="D41" s="401"/>
      <c r="E41" s="401"/>
      <c r="F41" s="401"/>
      <c r="G41" s="401"/>
      <c r="H41" s="401"/>
      <c r="I41" s="401"/>
      <c r="J41" s="401"/>
      <c r="K41" s="401">
        <f>1630*10^-3</f>
        <v>1.6300000000000001</v>
      </c>
      <c r="L41" s="401">
        <f>1541.3*10^-3</f>
        <v>1.5412999999999999</v>
      </c>
      <c r="M41" s="408" t="s">
        <v>677</v>
      </c>
    </row>
    <row r="42" spans="1:14">
      <c r="A42" s="82" t="s">
        <v>676</v>
      </c>
      <c r="B42" s="83" t="s">
        <v>673</v>
      </c>
      <c r="C42" s="83"/>
      <c r="D42" s="84"/>
      <c r="E42" s="84"/>
      <c r="F42" s="84"/>
      <c r="G42" s="84"/>
      <c r="H42" s="84"/>
      <c r="I42" s="84"/>
      <c r="J42" s="84"/>
      <c r="K42" s="84">
        <f>785.28*10^-3</f>
        <v>0.78527999999999998</v>
      </c>
      <c r="L42" s="84">
        <f>690.12*10^-3</f>
        <v>0.69012000000000007</v>
      </c>
      <c r="M42" s="91" t="s">
        <v>677</v>
      </c>
    </row>
    <row r="43" spans="1:14">
      <c r="A43" s="399" t="s">
        <v>678</v>
      </c>
      <c r="B43" s="400" t="s">
        <v>673</v>
      </c>
      <c r="C43" s="400"/>
      <c r="D43" s="401"/>
      <c r="E43" s="401"/>
      <c r="F43" s="401"/>
      <c r="G43" s="401"/>
      <c r="H43" s="401"/>
      <c r="I43" s="401"/>
      <c r="J43" s="401"/>
      <c r="K43" s="401">
        <f>1115*10^-3</f>
        <v>1.115</v>
      </c>
      <c r="L43" s="401">
        <f>1024.93*10^-3</f>
        <v>1.0249300000000001</v>
      </c>
      <c r="M43" s="408" t="s">
        <v>677</v>
      </c>
    </row>
    <row r="44" spans="1:14">
      <c r="A44" s="82" t="s">
        <v>679</v>
      </c>
      <c r="B44" s="83" t="s">
        <v>673</v>
      </c>
      <c r="C44" s="83"/>
      <c r="D44" s="84"/>
      <c r="E44" s="84"/>
      <c r="F44" s="84"/>
      <c r="G44" s="84"/>
      <c r="H44" s="84"/>
      <c r="I44" s="84"/>
      <c r="J44" s="84"/>
      <c r="K44" s="84">
        <f>2097.9*10^-3</f>
        <v>2.0979000000000001</v>
      </c>
      <c r="L44" s="84">
        <f>2033.9*10^-3</f>
        <v>2.0339</v>
      </c>
      <c r="M44" s="91" t="s">
        <v>677</v>
      </c>
    </row>
    <row r="45" spans="1:14">
      <c r="A45" s="399" t="s">
        <v>680</v>
      </c>
      <c r="B45" s="400" t="s">
        <v>673</v>
      </c>
      <c r="C45" s="400"/>
      <c r="D45" s="401"/>
      <c r="E45" s="401"/>
      <c r="F45" s="401"/>
      <c r="G45" s="401"/>
      <c r="H45" s="401"/>
      <c r="I45" s="401"/>
      <c r="J45" s="401"/>
      <c r="K45" s="401">
        <f>5510*10^-3</f>
        <v>5.51</v>
      </c>
      <c r="L45" s="401">
        <f>5453*10^-3</f>
        <v>5.4530000000000003</v>
      </c>
      <c r="M45" s="408" t="s">
        <v>677</v>
      </c>
    </row>
    <row r="46" spans="1:14" ht="14.5">
      <c r="A46" s="404" t="s">
        <v>3679</v>
      </c>
      <c r="B46" s="400" t="s">
        <v>323</v>
      </c>
      <c r="C46" s="400" t="str">
        <f>VLOOKUP(N47,'BDD agribalyse'!A:L,3,FALSE)</f>
        <v>salades composées et crudités</v>
      </c>
      <c r="D46" s="401">
        <f>VLOOKUP($N46,'BDD agribalyse'!$A:$L,5,FALSE)</f>
        <v>2.2200000000000002</v>
      </c>
      <c r="E46" s="401">
        <f>VLOOKUP($N46,'BDD agribalyse'!$A:$L,6,FALSE)</f>
        <v>2.2168299999999999</v>
      </c>
      <c r="F46" s="401">
        <f>VLOOKUP($N46,'BDD agribalyse'!$A:$L,7,FALSE)</f>
        <v>0.33849605999999999</v>
      </c>
      <c r="G46" s="401">
        <f>VLOOKUP($N46,'BDD agribalyse'!$A:$L,8,FALSE)</f>
        <v>0.27727707000000001</v>
      </c>
      <c r="H46" s="401">
        <f>VLOOKUP($N46,'BDD agribalyse'!$A:$L,9,FALSE)</f>
        <v>0.24471270000000001</v>
      </c>
      <c r="I46" s="401">
        <f>VLOOKUP($N46,'BDD agribalyse'!$A:$L,10,FALSE)</f>
        <v>3.7768032999999999E-2</v>
      </c>
      <c r="J46" s="401">
        <f>VLOOKUP($N46,'BDD agribalyse'!$A:$L,11,FALSE)</f>
        <v>6.6736979E-3</v>
      </c>
      <c r="K46" s="401">
        <f>VLOOKUP($N46,'BDD agribalyse'!$A:$L,12,FALSE)</f>
        <v>3.1217575608999999</v>
      </c>
      <c r="L46" s="84">
        <f>K46-H46/2</f>
        <v>2.9994012108999999</v>
      </c>
      <c r="M46" s="87" t="s">
        <v>629</v>
      </c>
      <c r="N46" s="398" t="s">
        <v>2906</v>
      </c>
    </row>
    <row r="47" spans="1:14" ht="14.5">
      <c r="A47" s="404" t="s">
        <v>3678</v>
      </c>
      <c r="B47" s="400" t="s">
        <v>323</v>
      </c>
      <c r="C47" s="400" t="str">
        <f>VLOOKUP(N48,'BDD agribalyse'!A:L,3,FALSE)</f>
        <v>salades composées et crudités</v>
      </c>
      <c r="D47" s="401">
        <f>VLOOKUP($N47,'BDD agribalyse'!$A:$L,5,FALSE)</f>
        <v>2.65</v>
      </c>
      <c r="E47" s="401">
        <f>VLOOKUP($N47,'BDD agribalyse'!$A:$L,6,FALSE)</f>
        <v>0.18633102000000001</v>
      </c>
      <c r="F47" s="401">
        <f>VLOOKUP($N47,'BDD agribalyse'!$A:$L,7,FALSE)</f>
        <v>0.31560751999999997</v>
      </c>
      <c r="G47" s="401">
        <f>VLOOKUP($N47,'BDD agribalyse'!$A:$L,8,FALSE)</f>
        <v>0.28134063999999998</v>
      </c>
      <c r="H47" s="401">
        <f>VLOOKUP($N47,'BDD agribalyse'!$A:$L,9,FALSE)</f>
        <v>0.23134991999999999</v>
      </c>
      <c r="I47" s="401">
        <f>VLOOKUP($N47,'BDD agribalyse'!$A:$L,10,FALSE)</f>
        <v>1.3595637000000001E-2</v>
      </c>
      <c r="J47" s="401">
        <f>VLOOKUP($N47,'BDD agribalyse'!$A:$L,11,FALSE)</f>
        <v>6.6736979E-3</v>
      </c>
      <c r="K47" s="401">
        <f>VLOOKUP($N47,'BDD agribalyse'!$A:$L,12,FALSE)</f>
        <v>1.0348984349000001</v>
      </c>
      <c r="L47" s="84">
        <f>K47-H47/2</f>
        <v>0.91922347490000011</v>
      </c>
      <c r="M47" s="87" t="s">
        <v>629</v>
      </c>
      <c r="N47" s="398" t="s">
        <v>2908</v>
      </c>
    </row>
    <row r="48" spans="1:14" ht="14.5">
      <c r="A48" s="404" t="s">
        <v>2911</v>
      </c>
      <c r="B48" s="400" t="s">
        <v>323</v>
      </c>
      <c r="C48" s="400" t="str">
        <f>VLOOKUP(N49,'BDD agribalyse'!A:L,3,FALSE)</f>
        <v>salades composées et crudités</v>
      </c>
      <c r="D48" s="401">
        <f>VLOOKUP($N48,'BDD agribalyse'!$A:$L,5,FALSE)</f>
        <v>1.91</v>
      </c>
      <c r="E48" s="401">
        <f>VLOOKUP($N48,'BDD agribalyse'!$A:$L,6,FALSE)</f>
        <v>0.50345574999999998</v>
      </c>
      <c r="F48" s="401">
        <f>VLOOKUP($N48,'BDD agribalyse'!$A:$L,7,FALSE)</f>
        <v>0.62272828000000002</v>
      </c>
      <c r="G48" s="401">
        <f>VLOOKUP($N48,'BDD agribalyse'!$A:$L,8,FALSE)</f>
        <v>0.29985094000000001</v>
      </c>
      <c r="H48" s="401">
        <f>VLOOKUP($N48,'BDD agribalyse'!$A:$L,9,FALSE)</f>
        <v>0.24526726000000001</v>
      </c>
      <c r="I48" s="401">
        <f>VLOOKUP($N48,'BDD agribalyse'!$A:$L,10,FALSE)</f>
        <v>1.3595637000000001E-2</v>
      </c>
      <c r="J48" s="401">
        <f>VLOOKUP($N48,'BDD agribalyse'!$A:$L,11,FALSE)</f>
        <v>6.6736979E-3</v>
      </c>
      <c r="K48" s="401">
        <f>VLOOKUP($N48,'BDD agribalyse'!$A:$L,12,FALSE)</f>
        <v>1.6915715649000003</v>
      </c>
      <c r="L48" s="84">
        <f>K48-H48/2</f>
        <v>1.5689379349000003</v>
      </c>
      <c r="M48" s="87" t="s">
        <v>629</v>
      </c>
      <c r="N48" s="398" t="s">
        <v>2911</v>
      </c>
    </row>
    <row r="49" spans="1:14" ht="14.5">
      <c r="A49" s="404" t="s">
        <v>3677</v>
      </c>
      <c r="B49" s="400" t="s">
        <v>323</v>
      </c>
      <c r="C49" s="400" t="str">
        <f>VLOOKUP(N10,'BDD agribalyse'!A:L,3,FALSE)</f>
        <v>sandwichs</v>
      </c>
      <c r="D49" s="401">
        <f>VLOOKUP($N49,'BDD agribalyse'!$A:$L,5,FALSE)</f>
        <v>2.19</v>
      </c>
      <c r="E49" s="401">
        <f>VLOOKUP($N49,'BDD agribalyse'!$A:$L,6,FALSE)</f>
        <v>1.1655082999999999</v>
      </c>
      <c r="F49" s="401">
        <f>VLOOKUP($N49,'BDD agribalyse'!$A:$L,7,FALSE)</f>
        <v>0.42172747999999999</v>
      </c>
      <c r="G49" s="401">
        <f>VLOOKUP($N49,'BDD agribalyse'!$A:$L,8,FALSE)</f>
        <v>0.27727707000000001</v>
      </c>
      <c r="H49" s="401">
        <f>VLOOKUP($N49,'BDD agribalyse'!$A:$L,9,FALSE)</f>
        <v>0.24053617999999999</v>
      </c>
      <c r="I49" s="401">
        <f>VLOOKUP($N49,'BDD agribalyse'!$A:$L,10,FALSE)</f>
        <v>3.7768032999999999E-2</v>
      </c>
      <c r="J49" s="401">
        <f>VLOOKUP($N49,'BDD agribalyse'!$A:$L,11,FALSE)</f>
        <v>6.6736979E-3</v>
      </c>
      <c r="K49" s="401">
        <f>VLOOKUP($N49,'BDD agribalyse'!$A:$L,12,FALSE)</f>
        <v>2.1494907609</v>
      </c>
      <c r="L49" s="84">
        <f>K49-H49/2</f>
        <v>2.0292226708999999</v>
      </c>
      <c r="M49" s="87" t="s">
        <v>629</v>
      </c>
      <c r="N49" s="398" t="s">
        <v>3164</v>
      </c>
    </row>
    <row r="50" spans="1:14" ht="14.5">
      <c r="A50" s="404" t="s">
        <v>3180</v>
      </c>
      <c r="B50" s="400" t="s">
        <v>323</v>
      </c>
      <c r="C50" s="400" t="str">
        <f>VLOOKUP(N19,'BDD agribalyse'!A:L,3,FALSE)</f>
        <v>pains et viennoiseries</v>
      </c>
      <c r="D50" s="401">
        <f>VLOOKUP($N50,'BDD agribalyse'!$A:$L,5,FALSE)</f>
        <v>2.2000000000000002</v>
      </c>
      <c r="E50" s="401">
        <f>VLOOKUP($N50,'BDD agribalyse'!$A:$L,6,FALSE)</f>
        <v>1.9486672</v>
      </c>
      <c r="F50" s="401">
        <f>VLOOKUP($N50,'BDD agribalyse'!$A:$L,7,FALSE)</f>
        <v>0.24911746000000001</v>
      </c>
      <c r="G50" s="401">
        <f>VLOOKUP($N50,'BDD agribalyse'!$A:$L,8,FALSE)</f>
        <v>0.28781257999999998</v>
      </c>
      <c r="H50" s="401">
        <f>VLOOKUP($N50,'BDD agribalyse'!$A:$L,9,FALSE)</f>
        <v>0.14581205999999999</v>
      </c>
      <c r="I50" s="401">
        <f>VLOOKUP($N50,'BDD agribalyse'!$A:$L,10,FALSE)</f>
        <v>1.9437894000000001E-2</v>
      </c>
      <c r="J50" s="401">
        <f>VLOOKUP($N50,'BDD agribalyse'!$A:$L,11,FALSE)</f>
        <v>0</v>
      </c>
      <c r="K50" s="401">
        <f>VLOOKUP($N50,'BDD agribalyse'!$A:$L,12,FALSE)</f>
        <v>2.6508471939999998</v>
      </c>
      <c r="L50" s="84">
        <f t="shared" ref="L50" si="5">K50-H50/2</f>
        <v>2.5779411639999998</v>
      </c>
      <c r="M50" s="87" t="s">
        <v>629</v>
      </c>
      <c r="N50" s="398" t="s">
        <v>3180</v>
      </c>
    </row>
    <row r="51" spans="1:14">
      <c r="A51" s="399" t="s">
        <v>3188</v>
      </c>
      <c r="B51" s="400" t="s">
        <v>323</v>
      </c>
      <c r="C51" s="400" t="str">
        <f>VLOOKUP(N51,'BDD agribalyse'!A:L,3,FALSE)</f>
        <v>pizzas, tartes et crêpes salées</v>
      </c>
      <c r="D51" s="401">
        <f>VLOOKUP($N51,'BDD agribalyse'!$A:$L,5,FALSE)</f>
        <v>3.19</v>
      </c>
      <c r="E51" s="401">
        <f>VLOOKUP($N51,'BDD agribalyse'!$A:$L,6,FALSE)</f>
        <v>1.4154785000000001</v>
      </c>
      <c r="F51" s="401">
        <f>VLOOKUP($N51,'BDD agribalyse'!$A:$L,7,FALSE)</f>
        <v>0.20541135999999999</v>
      </c>
      <c r="G51" s="401">
        <f>VLOOKUP($N51,'BDD agribalyse'!$A:$L,8,FALSE)</f>
        <v>0.10404785</v>
      </c>
      <c r="H51" s="401">
        <f>VLOOKUP($N51,'BDD agribalyse'!$A:$L,9,FALSE)</f>
        <v>0.25005877999999998</v>
      </c>
      <c r="I51" s="401">
        <f>VLOOKUP($N51,'BDD agribalyse'!$A:$L,10,FALSE)</f>
        <v>3.7768032999999999E-2</v>
      </c>
      <c r="J51" s="401">
        <f>VLOOKUP($N51,'BDD agribalyse'!$A:$L,11,FALSE)</f>
        <v>9.2564276000000001E-2</v>
      </c>
      <c r="K51" s="401">
        <f>VLOOKUP($N51,'BDD agribalyse'!$A:$L,12,FALSE)</f>
        <v>2.105328799</v>
      </c>
      <c r="L51" s="84">
        <f>K51-H51/2</f>
        <v>1.9802994090000001</v>
      </c>
      <c r="M51" s="87" t="s">
        <v>629</v>
      </c>
      <c r="N51" s="86" t="s">
        <v>3188</v>
      </c>
    </row>
    <row r="52" spans="1:14" s="281" customFormat="1">
      <c r="A52" s="409" t="s">
        <v>3399</v>
      </c>
      <c r="B52" s="410" t="s">
        <v>323</v>
      </c>
      <c r="C52" s="410" t="s">
        <v>3400</v>
      </c>
      <c r="D52" s="411"/>
      <c r="E52" s="411">
        <v>0.40130224333333331</v>
      </c>
      <c r="F52" s="411">
        <v>0.19061261666666665</v>
      </c>
      <c r="G52" s="411">
        <v>0.27978640999999999</v>
      </c>
      <c r="H52" s="411">
        <v>0.32908319999999996</v>
      </c>
      <c r="I52" s="411">
        <v>3.7768032999999999E-2</v>
      </c>
      <c r="J52" s="411">
        <v>1.0347905933333333E-2</v>
      </c>
      <c r="K52" s="411">
        <v>1.2489004089333335</v>
      </c>
      <c r="L52" s="411">
        <f t="shared" si="2"/>
        <v>1.0843588089333336</v>
      </c>
      <c r="M52" s="412" t="s">
        <v>3401</v>
      </c>
    </row>
    <row r="53" spans="1:14">
      <c r="A53" s="82" t="s">
        <v>651</v>
      </c>
      <c r="B53" s="83" t="s">
        <v>323</v>
      </c>
      <c r="C53" s="83" t="s">
        <v>650</v>
      </c>
      <c r="D53" s="84">
        <v>2.98</v>
      </c>
      <c r="E53" s="84">
        <v>2.2870449000000001E-2</v>
      </c>
      <c r="F53" s="84">
        <v>0</v>
      </c>
      <c r="G53" s="84">
        <v>2.6323455000000001E-3</v>
      </c>
      <c r="H53" s="84">
        <v>2.2694993E-3</v>
      </c>
      <c r="I53" s="84">
        <v>1.5675969999999999E-4</v>
      </c>
      <c r="J53" s="84">
        <v>1.1232300000000001E-2</v>
      </c>
      <c r="K53" s="84">
        <f>SUM(E53:J53)</f>
        <v>3.9161353499999996E-2</v>
      </c>
      <c r="L53" s="84">
        <f t="shared" si="2"/>
        <v>3.8026603849999993E-2</v>
      </c>
      <c r="M53" s="85" t="s">
        <v>651</v>
      </c>
    </row>
    <row r="54" spans="1:14">
      <c r="A54" s="82" t="s">
        <v>659</v>
      </c>
      <c r="B54" s="83" t="s">
        <v>653</v>
      </c>
      <c r="C54" s="83" t="s">
        <v>657</v>
      </c>
      <c r="D54" s="84">
        <f>AVERAGE('BDD agribalyse'!E2486:E2489)</f>
        <v>2.9724999999999997</v>
      </c>
      <c r="E54" s="84">
        <f>AVERAGE('BDD agribalyse'!F2486:F2489)</f>
        <v>0.32945763500000003</v>
      </c>
      <c r="F54" s="84">
        <f>AVERAGE('BDD agribalyse'!G2486:G2489)</f>
        <v>6.3663218499999993E-2</v>
      </c>
      <c r="G54" s="84">
        <f>AVERAGE('BDD agribalyse'!H2486:H2489)</f>
        <v>0.49958561000000001</v>
      </c>
      <c r="H54" s="84">
        <f>AVERAGE('BDD agribalyse'!I2486:I2489)</f>
        <v>0.25035599750000004</v>
      </c>
      <c r="I54" s="84">
        <f>AVERAGE('BDD agribalyse'!J2486:J2489)</f>
        <v>2.56444815E-2</v>
      </c>
      <c r="J54" s="84">
        <f>AVERAGE('BDD agribalyse'!K2486:K2489)</f>
        <v>6.6736979E-3</v>
      </c>
      <c r="K54" s="84">
        <f>AVERAGE('BDD agribalyse'!L2486:L2489)</f>
        <v>1.1753806404</v>
      </c>
      <c r="L54" s="84">
        <f t="shared" si="2"/>
        <v>1.0502026416499999</v>
      </c>
      <c r="M54" s="90" t="s">
        <v>660</v>
      </c>
    </row>
    <row r="57" spans="1:14" ht="15.65" customHeight="1"/>
    <row r="63" spans="1:14" customFormat="1" ht="14.5">
      <c r="A63" s="73"/>
      <c r="B63" s="74"/>
      <c r="C63" s="74"/>
      <c r="D63" s="75"/>
      <c r="E63" s="74"/>
      <c r="F63" s="74"/>
      <c r="G63" s="74"/>
      <c r="H63" s="74"/>
      <c r="I63" s="74"/>
      <c r="J63" s="74"/>
      <c r="K63" s="76"/>
      <c r="L63" s="77"/>
      <c r="M63" s="68"/>
    </row>
    <row r="64" spans="1:14" customFormat="1" ht="15" thickBot="1">
      <c r="A64" s="194"/>
      <c r="B64" s="195"/>
      <c r="C64" s="195"/>
      <c r="D64" s="196"/>
      <c r="E64" s="195"/>
      <c r="F64" s="195"/>
      <c r="G64" s="195"/>
      <c r="H64" s="195"/>
      <c r="I64" s="195"/>
      <c r="J64" s="195"/>
      <c r="K64" s="197"/>
      <c r="L64" s="198"/>
      <c r="M64" s="45"/>
    </row>
    <row r="65" spans="1:11" ht="21.65" customHeight="1" thickBot="1">
      <c r="A65" s="776" t="s">
        <v>3373</v>
      </c>
      <c r="B65" s="777"/>
      <c r="C65" s="777"/>
      <c r="D65" s="777"/>
      <c r="E65" s="777"/>
      <c r="F65" s="777"/>
      <c r="G65" s="777"/>
      <c r="H65" s="777"/>
      <c r="I65" s="778"/>
      <c r="J65" s="46"/>
      <c r="K65" s="47"/>
    </row>
    <row r="66" spans="1:11" ht="21.65" customHeight="1" thickBot="1">
      <c r="A66" s="773" t="s">
        <v>684</v>
      </c>
      <c r="B66" s="774"/>
      <c r="C66" s="774"/>
      <c r="D66" s="774"/>
      <c r="E66" s="774"/>
      <c r="F66" s="774"/>
      <c r="G66" s="774"/>
      <c r="H66" s="774"/>
      <c r="I66" s="775"/>
    </row>
    <row r="67" spans="1:11" ht="15" thickBot="1">
      <c r="A67" s="770" t="s">
        <v>685</v>
      </c>
      <c r="B67" s="771"/>
      <c r="C67" s="50"/>
      <c r="D67" s="50"/>
      <c r="E67" s="50"/>
      <c r="F67" s="50"/>
      <c r="G67" s="50"/>
      <c r="H67" s="50"/>
      <c r="I67" s="201"/>
    </row>
    <row r="68" spans="1:11" ht="15" thickBot="1">
      <c r="A68" s="202"/>
      <c r="B68" s="56"/>
      <c r="C68" s="56"/>
      <c r="D68" s="56"/>
      <c r="E68" s="56"/>
      <c r="F68" s="56"/>
      <c r="G68" s="56"/>
      <c r="H68" s="50"/>
      <c r="I68" s="203"/>
    </row>
    <row r="69" spans="1:11" ht="15" thickBot="1">
      <c r="A69" s="204" t="s">
        <v>686</v>
      </c>
      <c r="B69" s="49" t="s">
        <v>687</v>
      </c>
      <c r="C69" s="49" t="s">
        <v>688</v>
      </c>
      <c r="D69" s="49" t="s">
        <v>689</v>
      </c>
      <c r="E69" s="49" t="s">
        <v>690</v>
      </c>
      <c r="F69" s="49" t="s">
        <v>691</v>
      </c>
      <c r="G69" s="49" t="s">
        <v>692</v>
      </c>
      <c r="H69" s="49" t="s">
        <v>693</v>
      </c>
      <c r="I69" s="205" t="s">
        <v>693</v>
      </c>
    </row>
    <row r="70" spans="1:11" ht="15" thickBot="1">
      <c r="A70" s="206" t="s">
        <v>694</v>
      </c>
      <c r="B70" s="53"/>
      <c r="C70" s="53"/>
      <c r="D70" s="53"/>
      <c r="E70" s="53"/>
      <c r="F70" s="53"/>
      <c r="G70" s="53"/>
      <c r="H70" s="53"/>
      <c r="I70" s="207"/>
    </row>
    <row r="71" spans="1:11" ht="15" thickBot="1">
      <c r="A71" s="202" t="s">
        <v>695</v>
      </c>
      <c r="B71" s="51">
        <v>20047</v>
      </c>
      <c r="C71" s="51">
        <v>200</v>
      </c>
      <c r="D71" s="51">
        <v>38.6</v>
      </c>
      <c r="E71" s="51">
        <v>1.72</v>
      </c>
      <c r="F71" s="51">
        <v>0.52</v>
      </c>
      <c r="G71" s="51">
        <v>1.96</v>
      </c>
      <c r="H71" s="51">
        <v>392</v>
      </c>
      <c r="I71" s="208">
        <v>363</v>
      </c>
    </row>
    <row r="72" spans="1:11" ht="15" thickBot="1">
      <c r="A72" s="202" t="s">
        <v>696</v>
      </c>
      <c r="B72" s="51">
        <v>15023</v>
      </c>
      <c r="C72" s="51">
        <v>10</v>
      </c>
      <c r="D72" s="51">
        <v>71</v>
      </c>
      <c r="E72" s="51">
        <v>1.29</v>
      </c>
      <c r="F72" s="51">
        <v>3.18</v>
      </c>
      <c r="G72" s="51">
        <v>4.17</v>
      </c>
      <c r="H72" s="51">
        <v>41.7</v>
      </c>
      <c r="I72" s="208">
        <v>40.4</v>
      </c>
    </row>
    <row r="73" spans="1:11" ht="15" thickBot="1">
      <c r="A73" s="202" t="s">
        <v>697</v>
      </c>
      <c r="B73" s="51">
        <v>17270</v>
      </c>
      <c r="C73" s="51">
        <v>7</v>
      </c>
      <c r="D73" s="51">
        <v>63</v>
      </c>
      <c r="E73" s="51">
        <v>3.5000000000000003E-2</v>
      </c>
      <c r="F73" s="51">
        <v>6.9930000000000003</v>
      </c>
      <c r="G73" s="51">
        <v>1</v>
      </c>
      <c r="H73" s="51">
        <v>7</v>
      </c>
      <c r="I73" s="208">
        <v>6.16</v>
      </c>
    </row>
    <row r="74" spans="1:11" ht="15" thickBot="1">
      <c r="A74" s="206" t="s">
        <v>698</v>
      </c>
      <c r="B74" s="53"/>
      <c r="C74" s="53"/>
      <c r="D74" s="53"/>
      <c r="E74" s="53"/>
      <c r="F74" s="53"/>
      <c r="G74" s="53"/>
      <c r="H74" s="53"/>
      <c r="I74" s="207"/>
    </row>
    <row r="75" spans="1:11" ht="15" thickBot="1">
      <c r="A75" s="202" t="s">
        <v>699</v>
      </c>
      <c r="B75" s="51">
        <v>20904</v>
      </c>
      <c r="C75" s="51">
        <v>150</v>
      </c>
      <c r="D75" s="51">
        <v>222</v>
      </c>
      <c r="E75" s="51">
        <v>16</v>
      </c>
      <c r="F75" s="51">
        <v>8</v>
      </c>
      <c r="G75" s="51">
        <v>0.67</v>
      </c>
      <c r="H75" s="51">
        <v>100.5</v>
      </c>
      <c r="I75" s="208">
        <v>87</v>
      </c>
    </row>
    <row r="76" spans="1:11" ht="15" thickBot="1">
      <c r="A76" s="202" t="s">
        <v>700</v>
      </c>
      <c r="B76" s="51">
        <v>4023</v>
      </c>
      <c r="C76" s="51">
        <v>200</v>
      </c>
      <c r="D76" s="51">
        <v>152.80000000000001</v>
      </c>
      <c r="E76" s="51">
        <v>3.76</v>
      </c>
      <c r="F76" s="51">
        <v>0.6</v>
      </c>
      <c r="G76" s="51">
        <v>0.37</v>
      </c>
      <c r="H76" s="51">
        <v>74</v>
      </c>
      <c r="I76" s="208">
        <v>59</v>
      </c>
    </row>
    <row r="77" spans="1:11" ht="15" thickBot="1">
      <c r="A77" s="202" t="s">
        <v>701</v>
      </c>
      <c r="B77" s="51">
        <v>20034</v>
      </c>
      <c r="C77" s="51">
        <v>50</v>
      </c>
      <c r="D77" s="51">
        <v>20.100000000000001</v>
      </c>
      <c r="E77" s="51">
        <v>0.55000000000000004</v>
      </c>
      <c r="F77" s="51">
        <v>0.3</v>
      </c>
      <c r="G77" s="51">
        <v>0.39</v>
      </c>
      <c r="H77" s="51">
        <v>19.5</v>
      </c>
      <c r="I77" s="208">
        <v>13.25</v>
      </c>
    </row>
    <row r="78" spans="1:11" ht="15" thickBot="1">
      <c r="A78" s="202" t="s">
        <v>697</v>
      </c>
      <c r="B78" s="51">
        <v>17270</v>
      </c>
      <c r="C78" s="51">
        <v>7</v>
      </c>
      <c r="D78" s="51">
        <v>63</v>
      </c>
      <c r="E78" s="51">
        <v>3.5000000000000003E-2</v>
      </c>
      <c r="F78" s="51">
        <v>6.9930000000000003</v>
      </c>
      <c r="G78" s="51">
        <v>1</v>
      </c>
      <c r="H78" s="51">
        <v>7</v>
      </c>
      <c r="I78" s="208">
        <v>6.16</v>
      </c>
    </row>
    <row r="79" spans="1:11" ht="15" thickBot="1">
      <c r="A79" s="206" t="s">
        <v>702</v>
      </c>
      <c r="B79" s="53"/>
      <c r="C79" s="53"/>
      <c r="D79" s="53"/>
      <c r="E79" s="53"/>
      <c r="F79" s="53"/>
      <c r="G79" s="53"/>
      <c r="H79" s="53"/>
      <c r="I79" s="207"/>
    </row>
    <row r="80" spans="1:11" ht="15" thickBot="1">
      <c r="A80" s="202" t="s">
        <v>703</v>
      </c>
      <c r="B80" s="51">
        <v>13014</v>
      </c>
      <c r="C80" s="51">
        <v>200</v>
      </c>
      <c r="D80" s="51">
        <v>77.2</v>
      </c>
      <c r="E80" s="51">
        <v>1.26</v>
      </c>
      <c r="F80" s="51">
        <v>1</v>
      </c>
      <c r="G80" s="51">
        <v>0.55000000000000004</v>
      </c>
      <c r="H80" s="51">
        <v>110</v>
      </c>
      <c r="I80" s="208">
        <v>85</v>
      </c>
    </row>
    <row r="81" spans="1:9" ht="15" thickBot="1">
      <c r="A81" s="202" t="s">
        <v>704</v>
      </c>
      <c r="B81" s="51">
        <v>7001</v>
      </c>
      <c r="C81" s="51">
        <v>50</v>
      </c>
      <c r="D81" s="51">
        <v>143.5</v>
      </c>
      <c r="E81" s="51">
        <v>4.1349999999999998</v>
      </c>
      <c r="F81" s="51">
        <v>0.7</v>
      </c>
      <c r="G81" s="51">
        <v>0.67</v>
      </c>
      <c r="H81" s="51">
        <v>33.479999999999997</v>
      </c>
      <c r="I81" s="208">
        <v>30.15</v>
      </c>
    </row>
    <row r="82" spans="1:9" ht="15" thickBot="1">
      <c r="A82" s="209" t="s">
        <v>206</v>
      </c>
      <c r="B82" s="53"/>
      <c r="C82" s="54">
        <v>874</v>
      </c>
      <c r="D82" s="54">
        <v>851.2</v>
      </c>
      <c r="E82" s="54">
        <v>28.785</v>
      </c>
      <c r="F82" s="54">
        <v>28.286000000000001</v>
      </c>
      <c r="G82" s="53"/>
      <c r="H82" s="55">
        <v>785.18</v>
      </c>
      <c r="I82" s="210">
        <v>690.12</v>
      </c>
    </row>
    <row r="83" spans="1:9" ht="15" thickBot="1">
      <c r="A83" s="211"/>
      <c r="B83" s="50"/>
      <c r="C83" s="50"/>
      <c r="D83" s="50"/>
      <c r="E83" s="50"/>
      <c r="F83" s="50"/>
      <c r="G83" s="50"/>
      <c r="H83" s="50"/>
      <c r="I83" s="212">
        <v>0.88</v>
      </c>
    </row>
    <row r="84" spans="1:9" ht="15" thickBot="1">
      <c r="A84" s="211"/>
      <c r="B84" s="50"/>
      <c r="C84" s="50"/>
      <c r="D84" s="50"/>
      <c r="E84" s="50"/>
      <c r="F84" s="50"/>
      <c r="G84" s="50"/>
      <c r="H84" s="50"/>
      <c r="I84" s="201"/>
    </row>
    <row r="85" spans="1:9" ht="15" thickBot="1">
      <c r="A85" s="211"/>
      <c r="B85" s="50"/>
      <c r="C85" s="50"/>
      <c r="D85" s="50"/>
      <c r="E85" s="50"/>
      <c r="F85" s="50"/>
      <c r="G85" s="50"/>
      <c r="H85" s="50"/>
      <c r="I85" s="201"/>
    </row>
    <row r="86" spans="1:9" ht="15" thickBot="1">
      <c r="A86" s="770" t="s">
        <v>705</v>
      </c>
      <c r="B86" s="771"/>
      <c r="C86" s="50"/>
      <c r="D86" s="50"/>
      <c r="E86" s="50"/>
      <c r="F86" s="50"/>
      <c r="G86" s="50"/>
      <c r="H86" s="50"/>
      <c r="I86" s="201"/>
    </row>
    <row r="87" spans="1:9" ht="15" thickBot="1">
      <c r="A87" s="213"/>
      <c r="B87" s="69"/>
      <c r="C87" s="69"/>
      <c r="D87" s="69"/>
      <c r="E87" s="69"/>
      <c r="F87" s="69"/>
      <c r="G87" s="69"/>
      <c r="H87" s="50"/>
      <c r="I87" s="203"/>
    </row>
    <row r="88" spans="1:9" ht="15" thickBot="1">
      <c r="A88" s="204" t="s">
        <v>686</v>
      </c>
      <c r="B88" s="49" t="s">
        <v>687</v>
      </c>
      <c r="C88" s="49" t="s">
        <v>688</v>
      </c>
      <c r="D88" s="49" t="s">
        <v>689</v>
      </c>
      <c r="E88" s="49" t="s">
        <v>690</v>
      </c>
      <c r="F88" s="49" t="s">
        <v>691</v>
      </c>
      <c r="G88" s="49" t="s">
        <v>692</v>
      </c>
      <c r="H88" s="49" t="s">
        <v>693</v>
      </c>
      <c r="I88" s="205" t="s">
        <v>693</v>
      </c>
    </row>
    <row r="89" spans="1:9" ht="15" thickBot="1">
      <c r="A89" s="206" t="s">
        <v>706</v>
      </c>
      <c r="B89" s="53"/>
      <c r="C89" s="53"/>
      <c r="D89" s="53"/>
      <c r="E89" s="53"/>
      <c r="F89" s="53"/>
      <c r="G89" s="53"/>
      <c r="H89" s="53"/>
      <c r="I89" s="207"/>
    </row>
    <row r="90" spans="1:9" ht="15" thickBot="1">
      <c r="A90" s="214" t="s">
        <v>695</v>
      </c>
      <c r="B90" s="51">
        <v>20047</v>
      </c>
      <c r="C90" s="51">
        <v>200</v>
      </c>
      <c r="D90" s="51">
        <v>38.6</v>
      </c>
      <c r="E90" s="51">
        <v>1.72</v>
      </c>
      <c r="F90" s="51">
        <v>0.52</v>
      </c>
      <c r="G90" s="51">
        <v>1.96</v>
      </c>
      <c r="H90" s="51">
        <v>392</v>
      </c>
      <c r="I90" s="208">
        <v>363</v>
      </c>
    </row>
    <row r="91" spans="1:9" ht="15" thickBot="1">
      <c r="A91" s="202" t="s">
        <v>707</v>
      </c>
      <c r="B91" s="51">
        <v>19430</v>
      </c>
      <c r="C91" s="51">
        <v>10</v>
      </c>
      <c r="D91" s="51">
        <v>19.399999999999999</v>
      </c>
      <c r="E91" s="51">
        <v>0.25600000000000001</v>
      </c>
      <c r="F91" s="51">
        <v>1.87</v>
      </c>
      <c r="G91" s="51">
        <v>2.4500000000000002</v>
      </c>
      <c r="H91" s="51">
        <v>24.5</v>
      </c>
      <c r="I91" s="208">
        <v>24</v>
      </c>
    </row>
    <row r="92" spans="1:9" ht="15" thickBot="1">
      <c r="A92" s="206" t="s">
        <v>708</v>
      </c>
      <c r="B92" s="53"/>
      <c r="C92" s="53"/>
      <c r="D92" s="53"/>
      <c r="E92" s="53"/>
      <c r="F92" s="53"/>
      <c r="G92" s="53"/>
      <c r="H92" s="53"/>
      <c r="I92" s="207"/>
    </row>
    <row r="93" spans="1:9" ht="15" thickBot="1">
      <c r="A93" s="202" t="s">
        <v>709</v>
      </c>
      <c r="B93" s="51">
        <v>22000</v>
      </c>
      <c r="C93" s="51">
        <v>100</v>
      </c>
      <c r="D93" s="51">
        <v>140</v>
      </c>
      <c r="E93" s="51">
        <v>12.7</v>
      </c>
      <c r="F93" s="51">
        <v>9.83</v>
      </c>
      <c r="G93" s="51">
        <v>3.19</v>
      </c>
      <c r="H93" s="51">
        <v>319</v>
      </c>
      <c r="I93" s="208">
        <v>311.5</v>
      </c>
    </row>
    <row r="94" spans="1:9" ht="15" thickBot="1">
      <c r="A94" s="202" t="s">
        <v>700</v>
      </c>
      <c r="B94" s="51">
        <v>4023</v>
      </c>
      <c r="C94" s="51">
        <v>200</v>
      </c>
      <c r="D94" s="51">
        <v>152.80000000000001</v>
      </c>
      <c r="E94" s="51">
        <v>3.76</v>
      </c>
      <c r="F94" s="51">
        <v>0.6</v>
      </c>
      <c r="G94" s="51">
        <v>0.37</v>
      </c>
      <c r="H94" s="51">
        <v>74</v>
      </c>
      <c r="I94" s="208">
        <v>59</v>
      </c>
    </row>
    <row r="95" spans="1:9" ht="15" thickBot="1">
      <c r="A95" s="202" t="s">
        <v>701</v>
      </c>
      <c r="B95" s="51">
        <v>20034</v>
      </c>
      <c r="C95" s="51">
        <v>50</v>
      </c>
      <c r="D95" s="51">
        <v>20.100000000000001</v>
      </c>
      <c r="E95" s="51">
        <v>0.55000000000000004</v>
      </c>
      <c r="F95" s="51">
        <v>0.3</v>
      </c>
      <c r="G95" s="51">
        <v>0.39</v>
      </c>
      <c r="H95" s="51">
        <v>19.5</v>
      </c>
      <c r="I95" s="208">
        <v>13.25</v>
      </c>
    </row>
    <row r="96" spans="1:9" ht="21.65" customHeight="1" thickBot="1">
      <c r="A96" s="202" t="s">
        <v>697</v>
      </c>
      <c r="B96" s="51">
        <v>17270</v>
      </c>
      <c r="C96" s="51">
        <v>7</v>
      </c>
      <c r="D96" s="51">
        <v>63</v>
      </c>
      <c r="E96" s="51">
        <v>3.5000000000000003E-2</v>
      </c>
      <c r="F96" s="51">
        <v>6.9930000000000003</v>
      </c>
      <c r="G96" s="51">
        <v>1</v>
      </c>
      <c r="H96" s="51">
        <v>7</v>
      </c>
      <c r="I96" s="208">
        <v>6.16</v>
      </c>
    </row>
    <row r="97" spans="1:9" ht="21.75" customHeight="1" thickBot="1">
      <c r="A97" s="206" t="s">
        <v>710</v>
      </c>
      <c r="B97" s="53"/>
      <c r="C97" s="53"/>
      <c r="D97" s="53"/>
      <c r="E97" s="53"/>
      <c r="F97" s="53"/>
      <c r="G97" s="53"/>
      <c r="H97" s="53"/>
      <c r="I97" s="207"/>
    </row>
    <row r="98" spans="1:9" ht="15" thickBot="1">
      <c r="A98" s="202" t="s">
        <v>703</v>
      </c>
      <c r="B98" s="51">
        <v>13014</v>
      </c>
      <c r="C98" s="51">
        <v>200</v>
      </c>
      <c r="D98" s="51">
        <v>77.2</v>
      </c>
      <c r="E98" s="51">
        <v>1.26</v>
      </c>
      <c r="F98" s="51">
        <v>1</v>
      </c>
      <c r="G98" s="51">
        <v>0.55000000000000004</v>
      </c>
      <c r="H98" s="51">
        <v>110</v>
      </c>
      <c r="I98" s="208">
        <v>85</v>
      </c>
    </row>
    <row r="99" spans="1:9" ht="15" thickBot="1">
      <c r="A99" s="215" t="s">
        <v>711</v>
      </c>
      <c r="B99" s="70">
        <v>12047</v>
      </c>
      <c r="C99" s="70">
        <v>25</v>
      </c>
      <c r="D99" s="70">
        <v>77.75</v>
      </c>
      <c r="E99" s="70">
        <v>5.0750000000000002</v>
      </c>
      <c r="F99" s="70">
        <v>6.4249999999999998</v>
      </c>
      <c r="G99" s="70">
        <v>5.42</v>
      </c>
      <c r="H99" s="70">
        <v>135.5</v>
      </c>
      <c r="I99" s="216">
        <v>132.9</v>
      </c>
    </row>
    <row r="100" spans="1:9" ht="15" thickBot="1">
      <c r="A100" s="202" t="s">
        <v>704</v>
      </c>
      <c r="B100" s="51">
        <v>7001</v>
      </c>
      <c r="C100" s="51">
        <v>50</v>
      </c>
      <c r="D100" s="51">
        <v>143.5</v>
      </c>
      <c r="E100" s="51">
        <v>4.1349999999999998</v>
      </c>
      <c r="F100" s="51">
        <v>0.7</v>
      </c>
      <c r="G100" s="51">
        <v>0.67</v>
      </c>
      <c r="H100" s="51">
        <v>33.5</v>
      </c>
      <c r="I100" s="208">
        <v>30.1</v>
      </c>
    </row>
    <row r="101" spans="1:9" ht="15" thickBot="1">
      <c r="A101" s="209" t="s">
        <v>206</v>
      </c>
      <c r="B101" s="53"/>
      <c r="C101" s="54">
        <v>842</v>
      </c>
      <c r="D101" s="54">
        <v>732.35</v>
      </c>
      <c r="E101" s="54">
        <v>29.491</v>
      </c>
      <c r="F101" s="54">
        <v>28.238</v>
      </c>
      <c r="G101" s="53"/>
      <c r="H101" s="55">
        <v>1115</v>
      </c>
      <c r="I101" s="217">
        <v>1024.93</v>
      </c>
    </row>
    <row r="102" spans="1:9" ht="15" thickBot="1">
      <c r="A102" s="211"/>
      <c r="B102" s="50"/>
      <c r="C102" s="50"/>
      <c r="D102" s="50"/>
      <c r="E102" s="50"/>
      <c r="F102" s="50"/>
      <c r="G102" s="50"/>
      <c r="H102" s="50"/>
      <c r="I102" s="212">
        <v>0.92</v>
      </c>
    </row>
    <row r="103" spans="1:9" ht="15" thickBot="1">
      <c r="A103" s="770" t="s">
        <v>712</v>
      </c>
      <c r="B103" s="771"/>
      <c r="C103" s="50"/>
      <c r="D103" s="50"/>
      <c r="E103" s="50"/>
      <c r="F103" s="50"/>
      <c r="G103" s="50"/>
      <c r="H103" s="50"/>
      <c r="I103" s="201"/>
    </row>
    <row r="104" spans="1:9" ht="15" thickBot="1">
      <c r="A104" s="202"/>
      <c r="B104" s="56"/>
      <c r="C104" s="56"/>
      <c r="D104" s="56"/>
      <c r="E104" s="56"/>
      <c r="F104" s="56"/>
      <c r="G104" s="56"/>
      <c r="H104" s="50"/>
      <c r="I104" s="203"/>
    </row>
    <row r="105" spans="1:9" ht="15" thickBot="1">
      <c r="A105" s="204" t="s">
        <v>686</v>
      </c>
      <c r="B105" s="49" t="s">
        <v>687</v>
      </c>
      <c r="C105" s="49" t="s">
        <v>688</v>
      </c>
      <c r="D105" s="49" t="s">
        <v>689</v>
      </c>
      <c r="E105" s="49" t="s">
        <v>690</v>
      </c>
      <c r="F105" s="49" t="s">
        <v>691</v>
      </c>
      <c r="G105" s="49" t="s">
        <v>692</v>
      </c>
      <c r="H105" s="49" t="s">
        <v>693</v>
      </c>
      <c r="I105" s="205" t="s">
        <v>693</v>
      </c>
    </row>
    <row r="106" spans="1:9" ht="15" thickBot="1">
      <c r="A106" s="206" t="s">
        <v>694</v>
      </c>
      <c r="B106" s="53"/>
      <c r="C106" s="53"/>
      <c r="D106" s="53"/>
      <c r="E106" s="53"/>
      <c r="F106" s="53"/>
      <c r="G106" s="53"/>
      <c r="H106" s="53"/>
      <c r="I106" s="207"/>
    </row>
    <row r="107" spans="1:9" ht="15" thickBot="1">
      <c r="A107" s="202" t="s">
        <v>713</v>
      </c>
      <c r="B107" s="51">
        <v>20047</v>
      </c>
      <c r="C107" s="51">
        <v>200</v>
      </c>
      <c r="D107" s="51">
        <v>38.6</v>
      </c>
      <c r="E107" s="51">
        <v>1.72</v>
      </c>
      <c r="F107" s="51">
        <v>0.52</v>
      </c>
      <c r="G107" s="51">
        <v>1.96</v>
      </c>
      <c r="H107" s="51">
        <v>392</v>
      </c>
      <c r="I107" s="208">
        <v>363</v>
      </c>
    </row>
    <row r="108" spans="1:9" ht="15" thickBot="1">
      <c r="A108" s="202" t="s">
        <v>697</v>
      </c>
      <c r="B108" s="51">
        <v>17270</v>
      </c>
      <c r="C108" s="51">
        <v>7</v>
      </c>
      <c r="D108" s="51">
        <v>63</v>
      </c>
      <c r="E108" s="51">
        <v>3.5000000000000003E-2</v>
      </c>
      <c r="F108" s="51">
        <v>6.9930000000000003</v>
      </c>
      <c r="G108" s="51">
        <v>1</v>
      </c>
      <c r="H108" s="51">
        <v>7</v>
      </c>
      <c r="I108" s="208">
        <v>6.16</v>
      </c>
    </row>
    <row r="109" spans="1:9" ht="15" thickBot="1">
      <c r="A109" s="206" t="s">
        <v>714</v>
      </c>
      <c r="B109" s="53"/>
      <c r="C109" s="53"/>
      <c r="D109" s="53"/>
      <c r="E109" s="53"/>
      <c r="F109" s="53"/>
      <c r="G109" s="53"/>
      <c r="H109" s="53"/>
      <c r="I109" s="207"/>
    </row>
    <row r="110" spans="1:9" ht="15" thickBot="1">
      <c r="A110" s="202" t="s">
        <v>715</v>
      </c>
      <c r="B110" s="51">
        <v>36017</v>
      </c>
      <c r="C110" s="51">
        <v>150</v>
      </c>
      <c r="D110" s="51">
        <v>288</v>
      </c>
      <c r="E110" s="51">
        <v>25.95</v>
      </c>
      <c r="F110" s="51">
        <v>20.25</v>
      </c>
      <c r="G110" s="51">
        <v>8.18</v>
      </c>
      <c r="H110" s="51">
        <v>1227.0999999999999</v>
      </c>
      <c r="I110" s="208">
        <v>1210.2</v>
      </c>
    </row>
    <row r="111" spans="1:9" ht="15" thickBot="1">
      <c r="A111" s="202" t="s">
        <v>716</v>
      </c>
      <c r="B111" s="51">
        <v>9100</v>
      </c>
      <c r="C111" s="51">
        <v>60</v>
      </c>
      <c r="D111" s="51">
        <v>211.2</v>
      </c>
      <c r="E111" s="51">
        <v>4.2240000000000002</v>
      </c>
      <c r="F111" s="51">
        <v>0.54</v>
      </c>
      <c r="G111" s="51">
        <v>2.76</v>
      </c>
      <c r="H111" s="51">
        <v>165.6</v>
      </c>
      <c r="I111" s="208">
        <v>156.6</v>
      </c>
    </row>
    <row r="112" spans="1:9" ht="15" thickBot="1">
      <c r="A112" s="206" t="s">
        <v>717</v>
      </c>
      <c r="B112" s="53"/>
      <c r="C112" s="53"/>
      <c r="D112" s="53"/>
      <c r="E112" s="53"/>
      <c r="F112" s="53"/>
      <c r="G112" s="53"/>
      <c r="H112" s="53"/>
      <c r="I112" s="207"/>
    </row>
    <row r="113" spans="1:9" ht="15" thickBot="1">
      <c r="A113" s="202" t="s">
        <v>718</v>
      </c>
      <c r="B113" s="51">
        <v>12047</v>
      </c>
      <c r="C113" s="51">
        <v>25</v>
      </c>
      <c r="D113" s="51">
        <v>77.75</v>
      </c>
      <c r="E113" s="51">
        <v>5.0750000000000002</v>
      </c>
      <c r="F113" s="51">
        <v>6.4249999999999998</v>
      </c>
      <c r="G113" s="51">
        <v>5.42</v>
      </c>
      <c r="H113" s="51">
        <v>135.5</v>
      </c>
      <c r="I113" s="208">
        <v>132.875</v>
      </c>
    </row>
    <row r="114" spans="1:9" ht="15" thickBot="1">
      <c r="A114" s="202" t="s">
        <v>719</v>
      </c>
      <c r="B114" s="51">
        <v>12705</v>
      </c>
      <c r="C114" s="51">
        <v>25</v>
      </c>
      <c r="D114" s="51">
        <v>59.5</v>
      </c>
      <c r="E114" s="51">
        <v>7.25</v>
      </c>
      <c r="F114" s="51">
        <v>3.45</v>
      </c>
      <c r="G114" s="51">
        <v>5.49</v>
      </c>
      <c r="H114" s="51">
        <v>137.25</v>
      </c>
      <c r="I114" s="208">
        <v>134.875</v>
      </c>
    </row>
    <row r="115" spans="1:9" ht="15" thickBot="1">
      <c r="A115" s="202" t="s">
        <v>704</v>
      </c>
      <c r="B115" s="51">
        <v>7001</v>
      </c>
      <c r="C115" s="51">
        <v>50</v>
      </c>
      <c r="D115" s="51">
        <v>143.5</v>
      </c>
      <c r="E115" s="51">
        <v>4.1349999999999998</v>
      </c>
      <c r="F115" s="51">
        <v>0.7</v>
      </c>
      <c r="G115" s="51">
        <v>0.67</v>
      </c>
      <c r="H115" s="51">
        <v>33.5</v>
      </c>
      <c r="I115" s="208">
        <v>30.1</v>
      </c>
    </row>
    <row r="116" spans="1:9" ht="15" thickBot="1">
      <c r="A116" s="209" t="s">
        <v>206</v>
      </c>
      <c r="B116" s="53"/>
      <c r="C116" s="54">
        <v>517</v>
      </c>
      <c r="D116" s="54">
        <v>881.55</v>
      </c>
      <c r="E116" s="54">
        <v>48.389000000000003</v>
      </c>
      <c r="F116" s="54">
        <v>38.878</v>
      </c>
      <c r="G116" s="53"/>
      <c r="H116" s="55">
        <v>2097.9</v>
      </c>
      <c r="I116" s="210">
        <v>2033.9</v>
      </c>
    </row>
    <row r="117" spans="1:9" ht="15" thickBot="1">
      <c r="A117" s="211"/>
      <c r="B117" s="50"/>
      <c r="C117" s="50"/>
      <c r="D117" s="50"/>
      <c r="E117" s="50"/>
      <c r="F117" s="50"/>
      <c r="G117" s="50"/>
      <c r="H117" s="50"/>
      <c r="I117" s="212">
        <v>0.97</v>
      </c>
    </row>
    <row r="118" spans="1:9" ht="15" thickBot="1">
      <c r="A118" s="211"/>
      <c r="B118" s="50"/>
      <c r="C118" s="50"/>
      <c r="D118" s="50"/>
      <c r="E118" s="50"/>
      <c r="F118" s="50"/>
      <c r="G118" s="50"/>
      <c r="H118" s="50"/>
      <c r="I118" s="201"/>
    </row>
    <row r="119" spans="1:9" ht="15" thickBot="1">
      <c r="A119" s="770" t="s">
        <v>720</v>
      </c>
      <c r="B119" s="771"/>
      <c r="C119" s="50"/>
      <c r="D119" s="50"/>
      <c r="E119" s="50"/>
      <c r="F119" s="50"/>
      <c r="G119" s="50"/>
      <c r="H119" s="50"/>
      <c r="I119" s="201"/>
    </row>
    <row r="120" spans="1:9" ht="15" thickBot="1">
      <c r="A120" s="202"/>
      <c r="B120" s="56"/>
      <c r="C120" s="56"/>
      <c r="D120" s="56"/>
      <c r="E120" s="56"/>
      <c r="F120" s="56"/>
      <c r="G120" s="56"/>
      <c r="H120" s="50"/>
      <c r="I120" s="203"/>
    </row>
    <row r="121" spans="1:9" ht="15" thickBot="1">
      <c r="A121" s="204" t="s">
        <v>686</v>
      </c>
      <c r="B121" s="49" t="s">
        <v>687</v>
      </c>
      <c r="C121" s="49" t="s">
        <v>688</v>
      </c>
      <c r="D121" s="49" t="s">
        <v>689</v>
      </c>
      <c r="E121" s="49" t="s">
        <v>690</v>
      </c>
      <c r="F121" s="49" t="s">
        <v>691</v>
      </c>
      <c r="G121" s="49" t="s">
        <v>692</v>
      </c>
      <c r="H121" s="49" t="s">
        <v>721</v>
      </c>
      <c r="I121" s="205" t="s">
        <v>693</v>
      </c>
    </row>
    <row r="122" spans="1:9" ht="15" thickBot="1">
      <c r="A122" s="206" t="s">
        <v>722</v>
      </c>
      <c r="B122" s="53"/>
      <c r="C122" s="53"/>
      <c r="D122" s="53"/>
      <c r="E122" s="53"/>
      <c r="F122" s="53"/>
      <c r="G122" s="53"/>
      <c r="H122" s="53"/>
      <c r="I122" s="207"/>
    </row>
    <row r="123" spans="1:9" ht="15" thickBot="1">
      <c r="A123" s="202" t="s">
        <v>723</v>
      </c>
      <c r="B123" s="51">
        <v>19860</v>
      </c>
      <c r="C123" s="51">
        <v>125</v>
      </c>
      <c r="D123" s="51">
        <v>71</v>
      </c>
      <c r="E123" s="51">
        <v>4.8499999999999996</v>
      </c>
      <c r="F123" s="51">
        <v>2.875</v>
      </c>
      <c r="G123" s="51">
        <v>2.12</v>
      </c>
      <c r="H123" s="51">
        <v>265</v>
      </c>
      <c r="I123" s="208">
        <v>253.75</v>
      </c>
    </row>
    <row r="124" spans="1:9" ht="15" thickBot="1">
      <c r="A124" s="202" t="s">
        <v>724</v>
      </c>
      <c r="B124" s="51">
        <v>20019</v>
      </c>
      <c r="C124" s="51">
        <v>75</v>
      </c>
      <c r="D124" s="51">
        <v>11.7</v>
      </c>
      <c r="E124" s="51">
        <v>0.48</v>
      </c>
      <c r="F124" s="51">
        <v>8.2500000000000004E-2</v>
      </c>
      <c r="G124" s="51">
        <v>0.47</v>
      </c>
      <c r="H124" s="51">
        <v>35.25</v>
      </c>
      <c r="I124" s="208">
        <v>26.25</v>
      </c>
    </row>
    <row r="125" spans="1:9" ht="15" thickBot="1">
      <c r="A125" s="202" t="s">
        <v>697</v>
      </c>
      <c r="B125" s="51">
        <v>17270</v>
      </c>
      <c r="C125" s="51">
        <v>7</v>
      </c>
      <c r="D125" s="51">
        <v>63</v>
      </c>
      <c r="E125" s="51">
        <v>3.5000000000000003E-2</v>
      </c>
      <c r="F125" s="51">
        <v>6.9930000000000003</v>
      </c>
      <c r="G125" s="51">
        <v>1</v>
      </c>
      <c r="H125" s="51">
        <v>7</v>
      </c>
      <c r="I125" s="208">
        <v>6.16</v>
      </c>
    </row>
    <row r="126" spans="1:9" ht="15" thickBot="1">
      <c r="A126" s="206" t="s">
        <v>725</v>
      </c>
      <c r="B126" s="53"/>
      <c r="C126" s="53"/>
      <c r="D126" s="53"/>
      <c r="E126" s="53"/>
      <c r="F126" s="53"/>
      <c r="G126" s="53"/>
      <c r="H126" s="53"/>
      <c r="I126" s="207"/>
    </row>
    <row r="127" spans="1:9" ht="15" thickBot="1">
      <c r="A127" s="202" t="s">
        <v>726</v>
      </c>
      <c r="B127" s="51">
        <v>6212</v>
      </c>
      <c r="C127" s="51">
        <v>150</v>
      </c>
      <c r="D127" s="51">
        <v>346.5</v>
      </c>
      <c r="E127" s="51">
        <v>29.1</v>
      </c>
      <c r="F127" s="51">
        <v>25.65</v>
      </c>
      <c r="G127" s="51">
        <v>32.450000000000003</v>
      </c>
      <c r="H127" s="51">
        <v>4866.8</v>
      </c>
      <c r="I127" s="208">
        <v>4853.8999999999996</v>
      </c>
    </row>
    <row r="128" spans="1:9" ht="15" thickBot="1">
      <c r="A128" s="202" t="s">
        <v>700</v>
      </c>
      <c r="B128" s="51">
        <v>4023</v>
      </c>
      <c r="C128" s="51">
        <v>200</v>
      </c>
      <c r="D128" s="51">
        <v>152.80000000000001</v>
      </c>
      <c r="E128" s="51">
        <v>3.76</v>
      </c>
      <c r="F128" s="51">
        <v>0.6</v>
      </c>
      <c r="G128" s="51">
        <v>0.37</v>
      </c>
      <c r="H128" s="51">
        <v>74</v>
      </c>
      <c r="I128" s="208">
        <v>59</v>
      </c>
    </row>
    <row r="129" spans="1:9" ht="15" thickBot="1">
      <c r="A129" s="206" t="s">
        <v>727</v>
      </c>
      <c r="B129" s="53"/>
      <c r="C129" s="53"/>
      <c r="D129" s="53"/>
      <c r="E129" s="53"/>
      <c r="F129" s="53"/>
      <c r="G129" s="53"/>
      <c r="H129" s="53"/>
      <c r="I129" s="207"/>
    </row>
    <row r="130" spans="1:9" ht="15" thickBot="1">
      <c r="A130" s="202" t="s">
        <v>728</v>
      </c>
      <c r="B130" s="51">
        <v>24663</v>
      </c>
      <c r="C130" s="51">
        <v>100</v>
      </c>
      <c r="D130" s="51">
        <v>281.55</v>
      </c>
      <c r="E130" s="51">
        <v>2.5499999999999998</v>
      </c>
      <c r="F130" s="51">
        <v>14.6</v>
      </c>
      <c r="G130" s="51">
        <v>2.62</v>
      </c>
      <c r="H130" s="51">
        <v>262</v>
      </c>
      <c r="I130" s="208">
        <v>254</v>
      </c>
    </row>
    <row r="131" spans="1:9" ht="15" thickBot="1">
      <c r="A131" s="209" t="s">
        <v>206</v>
      </c>
      <c r="B131" s="53"/>
      <c r="C131" s="54">
        <v>657</v>
      </c>
      <c r="D131" s="54">
        <v>926.55</v>
      </c>
      <c r="E131" s="54">
        <v>40.774999999999999</v>
      </c>
      <c r="F131" s="54">
        <v>50.8005</v>
      </c>
      <c r="G131" s="53"/>
      <c r="H131" s="55">
        <v>5510</v>
      </c>
      <c r="I131" s="210">
        <v>5453</v>
      </c>
    </row>
    <row r="132" spans="1:9" ht="15" thickBot="1">
      <c r="A132" s="211"/>
      <c r="B132" s="50"/>
      <c r="C132" s="50"/>
      <c r="D132" s="50"/>
      <c r="E132" s="50"/>
      <c r="F132" s="50"/>
      <c r="G132" s="50"/>
      <c r="H132" s="50"/>
      <c r="I132" s="212">
        <v>0.99</v>
      </c>
    </row>
    <row r="133" spans="1:9" ht="15" thickBot="1">
      <c r="A133" s="770" t="s">
        <v>729</v>
      </c>
      <c r="B133" s="771"/>
      <c r="C133" s="50"/>
      <c r="D133" s="50"/>
      <c r="E133" s="50"/>
      <c r="F133" s="50"/>
      <c r="G133" s="50"/>
      <c r="H133" s="50"/>
      <c r="I133" s="201"/>
    </row>
    <row r="134" spans="1:9" ht="15" thickBot="1">
      <c r="A134" s="770" t="s">
        <v>730</v>
      </c>
      <c r="B134" s="771"/>
      <c r="C134" s="50"/>
      <c r="D134" s="50"/>
      <c r="E134" s="50"/>
      <c r="F134" s="50"/>
      <c r="G134" s="50"/>
      <c r="H134" s="50"/>
      <c r="I134" s="201"/>
    </row>
    <row r="135" spans="1:9" ht="15" thickBot="1">
      <c r="A135" s="202"/>
      <c r="B135" s="56"/>
      <c r="C135" s="56"/>
      <c r="D135" s="56"/>
      <c r="E135" s="56"/>
      <c r="F135" s="56"/>
      <c r="G135" s="56"/>
      <c r="H135" s="50"/>
      <c r="I135" s="203"/>
    </row>
    <row r="136" spans="1:9" ht="15" thickBot="1">
      <c r="A136" s="204" t="s">
        <v>686</v>
      </c>
      <c r="B136" s="49" t="s">
        <v>687</v>
      </c>
      <c r="C136" s="49" t="s">
        <v>688</v>
      </c>
      <c r="D136" s="49" t="s">
        <v>689</v>
      </c>
      <c r="E136" s="49" t="s">
        <v>690</v>
      </c>
      <c r="F136" s="49" t="s">
        <v>691</v>
      </c>
      <c r="G136" s="49" t="s">
        <v>692</v>
      </c>
      <c r="H136" s="49" t="s">
        <v>693</v>
      </c>
      <c r="I136" s="205" t="s">
        <v>693</v>
      </c>
    </row>
    <row r="137" spans="1:9" ht="15" thickBot="1">
      <c r="A137" s="206" t="s">
        <v>694</v>
      </c>
      <c r="B137" s="53"/>
      <c r="C137" s="53"/>
      <c r="D137" s="53"/>
      <c r="E137" s="53"/>
      <c r="F137" s="53"/>
      <c r="G137" s="53"/>
      <c r="H137" s="53"/>
      <c r="I137" s="207"/>
    </row>
    <row r="138" spans="1:9" ht="15" thickBot="1">
      <c r="A138" s="202" t="s">
        <v>713</v>
      </c>
      <c r="B138" s="51">
        <v>20047</v>
      </c>
      <c r="C138" s="51">
        <v>200</v>
      </c>
      <c r="D138" s="51">
        <v>38.6</v>
      </c>
      <c r="E138" s="51">
        <v>1.72</v>
      </c>
      <c r="F138" s="51">
        <v>0.52</v>
      </c>
      <c r="G138" s="51">
        <v>1.96</v>
      </c>
      <c r="H138" s="51">
        <v>392</v>
      </c>
      <c r="I138" s="208">
        <v>363</v>
      </c>
    </row>
    <row r="139" spans="1:9" ht="15" thickBot="1">
      <c r="A139" s="202" t="s">
        <v>697</v>
      </c>
      <c r="B139" s="51">
        <v>17270</v>
      </c>
      <c r="C139" s="51">
        <v>7</v>
      </c>
      <c r="D139" s="51">
        <v>63</v>
      </c>
      <c r="E139" s="51">
        <v>3.5000000000000003E-2</v>
      </c>
      <c r="F139" s="51">
        <v>6.9930000000000003</v>
      </c>
      <c r="G139" s="51">
        <v>1</v>
      </c>
      <c r="H139" s="51">
        <v>7</v>
      </c>
      <c r="I139" s="208">
        <v>6.16</v>
      </c>
    </row>
    <row r="140" spans="1:9" ht="15" thickBot="1">
      <c r="A140" s="206" t="s">
        <v>731</v>
      </c>
      <c r="B140" s="53"/>
      <c r="C140" s="53"/>
      <c r="D140" s="53"/>
      <c r="E140" s="53"/>
      <c r="F140" s="53"/>
      <c r="G140" s="53"/>
      <c r="H140" s="53"/>
      <c r="I140" s="207"/>
    </row>
    <row r="141" spans="1:9" ht="15" thickBot="1">
      <c r="A141" s="202" t="s">
        <v>732</v>
      </c>
      <c r="B141" s="51">
        <v>26037</v>
      </c>
      <c r="C141" s="51">
        <v>100</v>
      </c>
      <c r="D141" s="51">
        <v>194</v>
      </c>
      <c r="E141" s="51">
        <v>20.5</v>
      </c>
      <c r="F141" s="51">
        <v>12.4</v>
      </c>
      <c r="G141" s="51">
        <v>6.12</v>
      </c>
      <c r="H141" s="51">
        <v>612.1</v>
      </c>
      <c r="I141" s="208">
        <v>571.16</v>
      </c>
    </row>
    <row r="142" spans="1:9" ht="15" thickBot="1">
      <c r="A142" s="202" t="s">
        <v>733</v>
      </c>
      <c r="B142" s="51">
        <v>23424</v>
      </c>
      <c r="C142" s="51">
        <v>60</v>
      </c>
      <c r="D142" s="51">
        <v>243</v>
      </c>
      <c r="E142" s="51">
        <v>3.6</v>
      </c>
      <c r="F142" s="51">
        <v>18</v>
      </c>
      <c r="G142" s="51">
        <v>3.64</v>
      </c>
      <c r="H142" s="51">
        <v>218.4</v>
      </c>
      <c r="I142" s="208">
        <v>212.1</v>
      </c>
    </row>
    <row r="143" spans="1:9" ht="15" thickBot="1">
      <c r="A143" s="202" t="s">
        <v>734</v>
      </c>
      <c r="B143" s="51">
        <v>19042</v>
      </c>
      <c r="C143" s="51">
        <v>5</v>
      </c>
      <c r="D143" s="51">
        <v>2.25</v>
      </c>
      <c r="E143" s="51">
        <v>0.16500000000000001</v>
      </c>
      <c r="F143" s="51">
        <v>7.6999999999999999E-2</v>
      </c>
      <c r="G143" s="51">
        <v>1.32</v>
      </c>
      <c r="H143" s="51">
        <v>6.6</v>
      </c>
      <c r="I143" s="208">
        <v>6.1</v>
      </c>
    </row>
    <row r="144" spans="1:9" ht="15" thickBot="1">
      <c r="A144" s="202" t="s">
        <v>735</v>
      </c>
      <c r="B144" s="51">
        <v>19430</v>
      </c>
      <c r="C144" s="51">
        <v>5</v>
      </c>
      <c r="D144" s="51">
        <v>8.5</v>
      </c>
      <c r="E144" s="51">
        <v>0.125</v>
      </c>
      <c r="F144" s="51">
        <v>0.75</v>
      </c>
      <c r="G144" s="51">
        <v>2.4500000000000002</v>
      </c>
      <c r="H144" s="51">
        <v>12.25</v>
      </c>
      <c r="I144" s="208">
        <v>12</v>
      </c>
    </row>
    <row r="145" spans="1:11" ht="15" thickBot="1">
      <c r="A145" s="211" t="s">
        <v>736</v>
      </c>
      <c r="B145" s="51">
        <v>22000</v>
      </c>
      <c r="C145" s="51">
        <v>37.5</v>
      </c>
      <c r="D145" s="51">
        <v>54.375</v>
      </c>
      <c r="E145" s="51">
        <v>4.6124999999999998</v>
      </c>
      <c r="F145" s="51">
        <v>3.8624999999999998</v>
      </c>
      <c r="G145" s="51">
        <v>3.19</v>
      </c>
      <c r="H145" s="51">
        <v>119.63</v>
      </c>
      <c r="I145" s="208">
        <v>116.81</v>
      </c>
    </row>
    <row r="146" spans="1:11" ht="15" thickBot="1">
      <c r="A146" s="206" t="s">
        <v>727</v>
      </c>
      <c r="B146" s="53"/>
      <c r="C146" s="53"/>
      <c r="D146" s="53"/>
      <c r="E146" s="53"/>
      <c r="F146" s="53"/>
      <c r="G146" s="53"/>
      <c r="H146" s="53"/>
      <c r="I146" s="207"/>
    </row>
    <row r="147" spans="1:11" ht="15" thickBot="1">
      <c r="A147" s="202" t="s">
        <v>728</v>
      </c>
      <c r="B147" s="51">
        <v>24663</v>
      </c>
      <c r="C147" s="51">
        <v>100</v>
      </c>
      <c r="D147" s="51">
        <v>281.55</v>
      </c>
      <c r="E147" s="51">
        <v>2.5499999999999998</v>
      </c>
      <c r="F147" s="51">
        <v>14.6</v>
      </c>
      <c r="G147" s="51">
        <v>2.62</v>
      </c>
      <c r="H147" s="51">
        <v>262</v>
      </c>
      <c r="I147" s="208">
        <v>254</v>
      </c>
    </row>
    <row r="148" spans="1:11" ht="15" thickBot="1">
      <c r="A148" s="209" t="s">
        <v>206</v>
      </c>
      <c r="B148" s="53"/>
      <c r="C148" s="54">
        <v>514.5</v>
      </c>
      <c r="D148" s="54">
        <v>885.27499999999998</v>
      </c>
      <c r="E148" s="54">
        <v>33.307499999999997</v>
      </c>
      <c r="F148" s="54">
        <v>57.202500000000001</v>
      </c>
      <c r="G148" s="53"/>
      <c r="H148" s="55">
        <v>1630</v>
      </c>
      <c r="I148" s="210">
        <v>1541.3</v>
      </c>
    </row>
    <row r="149" spans="1:11" ht="15" thickBot="1">
      <c r="A149" s="211"/>
      <c r="B149" s="50"/>
      <c r="C149" s="50"/>
      <c r="D149" s="50"/>
      <c r="E149" s="50"/>
      <c r="F149" s="50"/>
      <c r="G149" s="50"/>
      <c r="H149" s="50"/>
      <c r="I149" s="212">
        <v>0.95</v>
      </c>
    </row>
    <row r="150" spans="1:11" ht="15" thickBot="1">
      <c r="A150" s="211"/>
      <c r="B150" s="50"/>
      <c r="C150" s="50"/>
      <c r="D150" s="50"/>
      <c r="E150" s="50"/>
      <c r="F150" s="50"/>
      <c r="G150" s="50"/>
      <c r="H150" s="50"/>
      <c r="I150" s="201"/>
    </row>
    <row r="151" spans="1:11" ht="15" thickBot="1">
      <c r="A151" s="770" t="s">
        <v>737</v>
      </c>
      <c r="B151" s="771"/>
      <c r="C151" s="50"/>
      <c r="D151" s="50"/>
      <c r="E151" s="50"/>
      <c r="F151" s="50"/>
      <c r="G151" s="50"/>
      <c r="H151" s="50"/>
      <c r="I151" s="201"/>
    </row>
    <row r="152" spans="1:11" ht="15" thickBot="1">
      <c r="A152" s="770" t="s">
        <v>738</v>
      </c>
      <c r="B152" s="771"/>
      <c r="C152" s="50"/>
      <c r="D152" s="50"/>
      <c r="E152" s="50"/>
      <c r="F152" s="50"/>
      <c r="G152" s="50"/>
      <c r="H152" s="50"/>
      <c r="I152" s="201"/>
    </row>
    <row r="153" spans="1:11" ht="15" thickBot="1">
      <c r="A153" s="202"/>
      <c r="B153" s="56"/>
      <c r="C153" s="56"/>
      <c r="D153" s="56"/>
      <c r="E153" s="56"/>
      <c r="F153" s="56"/>
      <c r="G153" s="56"/>
      <c r="H153" s="50"/>
      <c r="I153" s="203"/>
    </row>
    <row r="154" spans="1:11" ht="15" thickBot="1">
      <c r="A154" s="204" t="s">
        <v>686</v>
      </c>
      <c r="B154" s="49" t="s">
        <v>687</v>
      </c>
      <c r="C154" s="49" t="s">
        <v>688</v>
      </c>
      <c r="D154" s="49" t="s">
        <v>689</v>
      </c>
      <c r="E154" s="49" t="s">
        <v>690</v>
      </c>
      <c r="F154" s="49" t="s">
        <v>691</v>
      </c>
      <c r="G154" s="49" t="s">
        <v>692</v>
      </c>
      <c r="H154" s="49" t="s">
        <v>693</v>
      </c>
      <c r="I154" s="205" t="s">
        <v>693</v>
      </c>
      <c r="J154" s="46"/>
      <c r="K154" s="46"/>
    </row>
    <row r="155" spans="1:11" ht="15" thickBot="1">
      <c r="A155" s="206" t="s">
        <v>694</v>
      </c>
      <c r="B155" s="53"/>
      <c r="C155" s="53"/>
      <c r="D155" s="53"/>
      <c r="E155" s="53"/>
      <c r="F155" s="53"/>
      <c r="G155" s="53"/>
      <c r="H155" s="53"/>
      <c r="I155" s="207"/>
      <c r="J155" s="46"/>
      <c r="K155" s="46"/>
    </row>
    <row r="156" spans="1:11" ht="15" thickBot="1">
      <c r="A156" s="202" t="s">
        <v>739</v>
      </c>
      <c r="B156" s="51">
        <v>20047</v>
      </c>
      <c r="C156" s="51">
        <v>200</v>
      </c>
      <c r="D156" s="51">
        <v>38.6</v>
      </c>
      <c r="E156" s="51">
        <v>1.72</v>
      </c>
      <c r="F156" s="51">
        <v>0.52</v>
      </c>
      <c r="G156" s="51">
        <v>1.96</v>
      </c>
      <c r="H156" s="51">
        <v>392</v>
      </c>
      <c r="I156" s="208">
        <v>363</v>
      </c>
      <c r="J156" s="46"/>
      <c r="K156" s="46"/>
    </row>
    <row r="157" spans="1:11" ht="15" thickBot="1">
      <c r="A157" s="202" t="s">
        <v>697</v>
      </c>
      <c r="B157" s="51">
        <v>17270</v>
      </c>
      <c r="C157" s="51">
        <v>7</v>
      </c>
      <c r="D157" s="51">
        <v>63</v>
      </c>
      <c r="E157" s="51">
        <v>3.5000000000000003E-2</v>
      </c>
      <c r="F157" s="51">
        <v>6.9930000000000003</v>
      </c>
      <c r="G157" s="51">
        <v>1</v>
      </c>
      <c r="H157" s="51">
        <v>7</v>
      </c>
      <c r="I157" s="208">
        <v>6.16</v>
      </c>
      <c r="J157" s="46"/>
      <c r="K157" s="46"/>
    </row>
    <row r="158" spans="1:11" ht="15" thickBot="1">
      <c r="A158" s="206" t="s">
        <v>740</v>
      </c>
      <c r="B158" s="53"/>
      <c r="C158" s="53"/>
      <c r="D158" s="53"/>
      <c r="E158" s="53"/>
      <c r="F158" s="53"/>
      <c r="G158" s="53"/>
      <c r="H158" s="53"/>
      <c r="I158" s="207"/>
      <c r="J158" s="46"/>
      <c r="K158" s="46"/>
    </row>
    <row r="159" spans="1:11" ht="15" thickBot="1">
      <c r="A159" s="202" t="s">
        <v>741</v>
      </c>
      <c r="B159" s="51">
        <v>26043</v>
      </c>
      <c r="C159" s="51">
        <v>150</v>
      </c>
      <c r="D159" s="51">
        <v>116.4</v>
      </c>
      <c r="E159" s="51">
        <v>27.15</v>
      </c>
      <c r="F159" s="51">
        <v>0.9</v>
      </c>
      <c r="G159" s="51">
        <v>9.4</v>
      </c>
      <c r="H159" s="51">
        <v>1410.2</v>
      </c>
      <c r="I159" s="208">
        <v>1329.24</v>
      </c>
      <c r="J159" s="46"/>
      <c r="K159" s="46"/>
    </row>
    <row r="160" spans="1:11" ht="15" thickBot="1">
      <c r="A160" s="202" t="s">
        <v>716</v>
      </c>
      <c r="B160" s="51">
        <v>9100</v>
      </c>
      <c r="C160" s="51">
        <v>60</v>
      </c>
      <c r="D160" s="51">
        <v>214</v>
      </c>
      <c r="E160" s="51">
        <v>5</v>
      </c>
      <c r="F160" s="51">
        <v>1</v>
      </c>
      <c r="G160" s="51">
        <v>2.76</v>
      </c>
      <c r="H160" s="51">
        <v>165.6</v>
      </c>
      <c r="I160" s="208">
        <v>156.6</v>
      </c>
      <c r="J160" s="46"/>
      <c r="K160" s="46"/>
    </row>
    <row r="161" spans="1:11" ht="15" thickBot="1">
      <c r="A161" s="202" t="s">
        <v>742</v>
      </c>
      <c r="B161" s="51">
        <v>11140</v>
      </c>
      <c r="C161" s="51">
        <v>30</v>
      </c>
      <c r="D161" s="51">
        <v>56.4</v>
      </c>
      <c r="E161" s="51">
        <v>0.21</v>
      </c>
      <c r="F161" s="51">
        <v>6</v>
      </c>
      <c r="G161" s="51">
        <v>4.37</v>
      </c>
      <c r="H161" s="51">
        <v>131.1</v>
      </c>
      <c r="I161" s="208">
        <v>127.5</v>
      </c>
      <c r="J161" s="46"/>
      <c r="K161" s="46"/>
    </row>
    <row r="162" spans="1:11" ht="15" thickBot="1">
      <c r="A162" s="206" t="s">
        <v>727</v>
      </c>
      <c r="B162" s="53"/>
      <c r="C162" s="53"/>
      <c r="D162" s="53"/>
      <c r="E162" s="53"/>
      <c r="F162" s="53"/>
      <c r="G162" s="53"/>
      <c r="H162" s="53"/>
      <c r="I162" s="207"/>
      <c r="J162" s="46"/>
      <c r="K162" s="46"/>
    </row>
    <row r="163" spans="1:11" ht="15" thickBot="1">
      <c r="A163" s="202" t="s">
        <v>728</v>
      </c>
      <c r="B163" s="51">
        <v>24663</v>
      </c>
      <c r="C163" s="51">
        <v>100</v>
      </c>
      <c r="D163" s="51">
        <v>281.55</v>
      </c>
      <c r="E163" s="51">
        <v>2.5499999999999998</v>
      </c>
      <c r="F163" s="51">
        <v>14.6</v>
      </c>
      <c r="G163" s="51">
        <v>2.62</v>
      </c>
      <c r="H163" s="51">
        <v>262</v>
      </c>
      <c r="I163" s="208">
        <v>254</v>
      </c>
      <c r="J163" s="46"/>
      <c r="K163" s="46"/>
    </row>
    <row r="164" spans="1:11" ht="15" thickBot="1">
      <c r="A164" s="209" t="s">
        <v>206</v>
      </c>
      <c r="B164" s="53"/>
      <c r="C164" s="54">
        <v>547</v>
      </c>
      <c r="D164" s="54">
        <v>769.95</v>
      </c>
      <c r="E164" s="54">
        <v>36.664999999999999</v>
      </c>
      <c r="F164" s="54">
        <v>30.013000000000002</v>
      </c>
      <c r="G164" s="53"/>
      <c r="H164" s="55">
        <v>2367.9</v>
      </c>
      <c r="I164" s="210">
        <v>2236.5</v>
      </c>
      <c r="J164" s="46"/>
      <c r="K164" s="46"/>
    </row>
    <row r="165" spans="1:11" ht="15" thickBot="1">
      <c r="A165" s="211"/>
      <c r="B165" s="50"/>
      <c r="C165" s="50"/>
      <c r="D165" s="50"/>
      <c r="E165" s="50"/>
      <c r="F165" s="50"/>
      <c r="G165" s="50"/>
      <c r="H165" s="50"/>
      <c r="I165" s="212">
        <v>0.94</v>
      </c>
      <c r="J165" s="46"/>
      <c r="K165" s="46"/>
    </row>
    <row r="166" spans="1:11" ht="15" thickBot="1">
      <c r="A166" s="766" t="s">
        <v>743</v>
      </c>
      <c r="B166" s="767"/>
      <c r="C166" s="50"/>
      <c r="D166" s="50"/>
      <c r="E166" s="50"/>
      <c r="F166" s="50"/>
      <c r="G166" s="50"/>
      <c r="H166" s="50"/>
      <c r="I166" s="201"/>
      <c r="J166" s="46"/>
      <c r="K166" s="46"/>
    </row>
    <row r="167" spans="1:11" ht="15" thickBot="1">
      <c r="A167" s="766" t="s">
        <v>744</v>
      </c>
      <c r="B167" s="767"/>
      <c r="C167" s="50"/>
      <c r="D167" s="50"/>
      <c r="E167" s="50"/>
      <c r="F167" s="50"/>
      <c r="G167" s="50"/>
      <c r="H167" s="50"/>
      <c r="I167" s="201"/>
      <c r="J167" s="46"/>
      <c r="K167" s="46"/>
    </row>
    <row r="168" spans="1:11" ht="15" thickBot="1">
      <c r="A168" s="211"/>
      <c r="B168" s="50"/>
      <c r="C168" s="50"/>
      <c r="D168" s="50"/>
      <c r="E168" s="50"/>
      <c r="F168" s="50"/>
      <c r="G168" s="50"/>
      <c r="H168" s="50"/>
      <c r="I168" s="203"/>
      <c r="J168" s="46"/>
      <c r="K168" s="46"/>
    </row>
    <row r="169" spans="1:11" ht="15" thickBot="1">
      <c r="A169" s="218" t="s">
        <v>745</v>
      </c>
      <c r="B169" s="48" t="s">
        <v>688</v>
      </c>
      <c r="C169" s="48" t="s">
        <v>689</v>
      </c>
      <c r="D169" s="48" t="s">
        <v>690</v>
      </c>
      <c r="E169" s="48" t="s">
        <v>691</v>
      </c>
      <c r="F169" s="48" t="s">
        <v>305</v>
      </c>
      <c r="G169" s="48" t="s">
        <v>746</v>
      </c>
      <c r="H169" s="48" t="s">
        <v>747</v>
      </c>
      <c r="I169" s="219" t="s">
        <v>746</v>
      </c>
      <c r="J169" s="46"/>
      <c r="K169" s="46"/>
    </row>
    <row r="170" spans="1:11" ht="15" thickBot="1">
      <c r="A170" s="211" t="s">
        <v>748</v>
      </c>
      <c r="B170" s="51">
        <v>50</v>
      </c>
      <c r="C170" s="51">
        <v>132.5</v>
      </c>
      <c r="D170" s="51">
        <v>4.5</v>
      </c>
      <c r="E170" s="51">
        <v>1.6</v>
      </c>
      <c r="F170" s="51">
        <v>0.67</v>
      </c>
      <c r="G170" s="51">
        <v>33.5</v>
      </c>
      <c r="H170" s="50"/>
      <c r="I170" s="208">
        <v>30.15</v>
      </c>
      <c r="J170" s="46"/>
      <c r="K170" s="46"/>
    </row>
    <row r="171" spans="1:11" ht="15" thickBot="1">
      <c r="A171" s="211" t="s">
        <v>749</v>
      </c>
      <c r="B171" s="51">
        <v>50</v>
      </c>
      <c r="C171" s="51">
        <v>203</v>
      </c>
      <c r="D171" s="51">
        <v>4</v>
      </c>
      <c r="E171" s="51">
        <v>10.5</v>
      </c>
      <c r="F171" s="51">
        <v>1.7</v>
      </c>
      <c r="G171" s="51">
        <v>85</v>
      </c>
      <c r="H171" s="50"/>
      <c r="I171" s="208">
        <v>80.5</v>
      </c>
      <c r="J171" s="46"/>
      <c r="K171" s="46"/>
    </row>
    <row r="172" spans="1:11" ht="15" thickBot="1">
      <c r="A172" s="211" t="s">
        <v>750</v>
      </c>
      <c r="B172" s="51">
        <v>10</v>
      </c>
      <c r="C172" s="51">
        <v>73.8</v>
      </c>
      <c r="D172" s="51">
        <v>0.09</v>
      </c>
      <c r="E172" s="51">
        <v>8.1</v>
      </c>
      <c r="F172" s="51">
        <v>7.82</v>
      </c>
      <c r="G172" s="51">
        <v>78.2</v>
      </c>
      <c r="H172" s="50"/>
      <c r="I172" s="208">
        <v>77.05</v>
      </c>
      <c r="J172" s="46"/>
      <c r="K172" s="46"/>
    </row>
    <row r="173" spans="1:11" ht="15" thickBot="1">
      <c r="A173" s="211" t="s">
        <v>751</v>
      </c>
      <c r="B173" s="51">
        <v>20</v>
      </c>
      <c r="C173" s="51">
        <v>50.2</v>
      </c>
      <c r="D173" s="51">
        <v>0.04</v>
      </c>
      <c r="E173" s="51">
        <v>0.01</v>
      </c>
      <c r="F173" s="51">
        <v>1.42</v>
      </c>
      <c r="G173" s="51">
        <v>28.4</v>
      </c>
      <c r="H173" s="50"/>
      <c r="I173" s="208">
        <v>25.7</v>
      </c>
      <c r="J173" s="46"/>
      <c r="K173" s="46"/>
    </row>
    <row r="174" spans="1:11" ht="15" thickBot="1">
      <c r="A174" s="211" t="s">
        <v>752</v>
      </c>
      <c r="B174" s="51">
        <v>100</v>
      </c>
      <c r="C174" s="51">
        <v>47</v>
      </c>
      <c r="D174" s="51">
        <v>0.9</v>
      </c>
      <c r="E174" s="51">
        <v>0.1</v>
      </c>
      <c r="F174" s="51">
        <v>0.64</v>
      </c>
      <c r="G174" s="51">
        <v>64</v>
      </c>
      <c r="H174" s="50"/>
      <c r="I174" s="208">
        <v>46.5</v>
      </c>
      <c r="J174" s="46"/>
      <c r="K174" s="46"/>
    </row>
    <row r="175" spans="1:11" ht="16" thickBot="1">
      <c r="A175" s="220" t="s">
        <v>206</v>
      </c>
      <c r="B175" s="55">
        <v>230</v>
      </c>
      <c r="C175" s="55">
        <v>506.5</v>
      </c>
      <c r="D175" s="55">
        <v>9.5299999999999994</v>
      </c>
      <c r="E175" s="55">
        <v>20.309999999999999</v>
      </c>
      <c r="F175" s="53"/>
      <c r="G175" s="55">
        <v>289.10000000000002</v>
      </c>
      <c r="H175" s="71">
        <v>105.5136102</v>
      </c>
      <c r="I175" s="210">
        <v>259.89999999999998</v>
      </c>
      <c r="J175" s="46"/>
      <c r="K175" s="46"/>
    </row>
    <row r="176" spans="1:11" ht="15" thickBot="1">
      <c r="A176" s="211"/>
      <c r="B176" s="50"/>
      <c r="C176" s="50"/>
      <c r="D176" s="50"/>
      <c r="E176" s="50"/>
      <c r="F176" s="50"/>
      <c r="G176" s="50"/>
      <c r="H176" s="50"/>
      <c r="I176" s="212">
        <v>0.9</v>
      </c>
      <c r="J176" s="46"/>
      <c r="K176" s="46"/>
    </row>
    <row r="177" spans="1:11" ht="15" thickBot="1">
      <c r="A177" s="766" t="s">
        <v>753</v>
      </c>
      <c r="B177" s="767"/>
      <c r="C177" s="50"/>
      <c r="D177" s="50"/>
      <c r="E177" s="50"/>
      <c r="F177" s="50"/>
      <c r="G177" s="50"/>
      <c r="H177" s="50"/>
      <c r="I177" s="201"/>
      <c r="J177" s="46"/>
      <c r="K177" s="46"/>
    </row>
    <row r="178" spans="1:11" ht="15" thickBot="1">
      <c r="A178" s="766" t="s">
        <v>754</v>
      </c>
      <c r="B178" s="767"/>
      <c r="C178" s="50"/>
      <c r="D178" s="50"/>
      <c r="E178" s="50"/>
      <c r="F178" s="50"/>
      <c r="G178" s="50"/>
      <c r="H178" s="50"/>
      <c r="I178" s="201"/>
      <c r="J178" s="46"/>
      <c r="K178" s="46"/>
    </row>
    <row r="179" spans="1:11" ht="15" thickBot="1">
      <c r="A179" s="211"/>
      <c r="B179" s="50"/>
      <c r="C179" s="50"/>
      <c r="D179" s="50"/>
      <c r="E179" s="50"/>
      <c r="F179" s="50"/>
      <c r="G179" s="50"/>
      <c r="H179" s="50"/>
      <c r="I179" s="203"/>
      <c r="J179" s="46"/>
      <c r="K179" s="46"/>
    </row>
    <row r="180" spans="1:11" ht="15" thickBot="1">
      <c r="A180" s="218" t="s">
        <v>745</v>
      </c>
      <c r="B180" s="48" t="s">
        <v>688</v>
      </c>
      <c r="C180" s="48" t="s">
        <v>689</v>
      </c>
      <c r="D180" s="48" t="s">
        <v>690</v>
      </c>
      <c r="E180" s="48" t="s">
        <v>691</v>
      </c>
      <c r="F180" s="48" t="s">
        <v>305</v>
      </c>
      <c r="G180" s="48" t="s">
        <v>746</v>
      </c>
      <c r="H180" s="48" t="s">
        <v>747</v>
      </c>
      <c r="I180" s="219" t="s">
        <v>746</v>
      </c>
      <c r="J180" s="46"/>
      <c r="K180" s="46"/>
    </row>
    <row r="181" spans="1:11" ht="16" thickBot="1">
      <c r="A181" s="768" t="s">
        <v>755</v>
      </c>
      <c r="B181" s="769"/>
      <c r="C181" s="52"/>
      <c r="D181" s="52"/>
      <c r="E181" s="52"/>
      <c r="F181" s="52"/>
      <c r="G181" s="52"/>
      <c r="H181" s="50"/>
      <c r="I181" s="201"/>
      <c r="J181" s="46"/>
      <c r="K181" s="46"/>
    </row>
    <row r="182" spans="1:11" ht="203.5" thickBot="1">
      <c r="A182" s="211" t="s">
        <v>756</v>
      </c>
      <c r="B182" s="51">
        <v>60</v>
      </c>
      <c r="C182" s="51">
        <v>240</v>
      </c>
      <c r="D182" s="51">
        <v>5.3</v>
      </c>
      <c r="E182" s="51">
        <v>5</v>
      </c>
      <c r="F182" s="51">
        <v>3.4</v>
      </c>
      <c r="G182" s="51">
        <v>204</v>
      </c>
      <c r="H182" s="50" t="s">
        <v>757</v>
      </c>
      <c r="I182" s="208">
        <v>196.2</v>
      </c>
      <c r="J182" s="46"/>
      <c r="K182" s="46"/>
    </row>
    <row r="183" spans="1:11" ht="15" thickBot="1">
      <c r="A183" s="211" t="s">
        <v>758</v>
      </c>
      <c r="B183" s="51">
        <v>200</v>
      </c>
      <c r="C183" s="51">
        <v>84</v>
      </c>
      <c r="D183" s="51">
        <v>6.8</v>
      </c>
      <c r="E183" s="51">
        <v>2</v>
      </c>
      <c r="F183" s="51">
        <v>1.32</v>
      </c>
      <c r="G183" s="51">
        <v>264</v>
      </c>
      <c r="H183" s="50"/>
      <c r="I183" s="208">
        <v>244</v>
      </c>
      <c r="J183" s="46"/>
      <c r="K183" s="46"/>
    </row>
    <row r="184" spans="1:11" ht="16" thickBot="1">
      <c r="A184" s="220" t="s">
        <v>206</v>
      </c>
      <c r="B184" s="55">
        <v>260</v>
      </c>
      <c r="C184" s="55">
        <v>324</v>
      </c>
      <c r="D184" s="55">
        <v>12.1</v>
      </c>
      <c r="E184" s="55">
        <v>7</v>
      </c>
      <c r="F184" s="53"/>
      <c r="G184" s="55">
        <v>468</v>
      </c>
      <c r="H184" s="71">
        <v>170.82</v>
      </c>
      <c r="I184" s="210">
        <v>440.2</v>
      </c>
      <c r="J184" s="46"/>
      <c r="K184" s="46"/>
    </row>
    <row r="185" spans="1:11" ht="16" thickBot="1">
      <c r="A185" s="768" t="s">
        <v>759</v>
      </c>
      <c r="B185" s="769"/>
      <c r="C185" s="52"/>
      <c r="D185" s="52"/>
      <c r="E185" s="52"/>
      <c r="F185" s="52"/>
      <c r="G185" s="52"/>
      <c r="H185" s="50"/>
      <c r="I185" s="201"/>
      <c r="J185" s="46"/>
      <c r="K185" s="46"/>
    </row>
    <row r="186" spans="1:11" ht="29.5" thickBot="1">
      <c r="A186" s="211" t="s">
        <v>756</v>
      </c>
      <c r="B186" s="51">
        <v>60</v>
      </c>
      <c r="C186" s="51">
        <v>240</v>
      </c>
      <c r="D186" s="51">
        <v>5.3</v>
      </c>
      <c r="E186" s="51">
        <v>5</v>
      </c>
      <c r="F186" s="51">
        <v>3.4</v>
      </c>
      <c r="G186" s="51">
        <v>204</v>
      </c>
      <c r="H186" s="50"/>
      <c r="I186" s="208">
        <v>196.2</v>
      </c>
      <c r="J186" s="46"/>
      <c r="K186" s="46"/>
    </row>
    <row r="187" spans="1:11" ht="15" thickBot="1">
      <c r="A187" s="211" t="s">
        <v>758</v>
      </c>
      <c r="B187" s="51">
        <v>200</v>
      </c>
      <c r="C187" s="51">
        <v>80</v>
      </c>
      <c r="D187" s="51">
        <v>7.6</v>
      </c>
      <c r="E187" s="51">
        <v>4</v>
      </c>
      <c r="F187" s="51">
        <v>0.44</v>
      </c>
      <c r="G187" s="51">
        <v>88</v>
      </c>
      <c r="H187" s="50"/>
      <c r="I187" s="208">
        <v>74</v>
      </c>
      <c r="J187" s="46"/>
      <c r="K187" s="46"/>
    </row>
    <row r="188" spans="1:11" ht="16" thickBot="1">
      <c r="A188" s="220" t="s">
        <v>206</v>
      </c>
      <c r="B188" s="55">
        <v>260</v>
      </c>
      <c r="C188" s="55">
        <v>320</v>
      </c>
      <c r="D188" s="55">
        <v>12.9</v>
      </c>
      <c r="E188" s="55">
        <v>9</v>
      </c>
      <c r="F188" s="53"/>
      <c r="G188" s="55">
        <v>292</v>
      </c>
      <c r="H188" s="71">
        <v>106.58</v>
      </c>
      <c r="I188" s="210">
        <v>270.2</v>
      </c>
      <c r="J188" s="46"/>
      <c r="K188" s="46"/>
    </row>
    <row r="189" spans="1:11" ht="16" thickBot="1">
      <c r="A189" s="768" t="s">
        <v>760</v>
      </c>
      <c r="B189" s="769"/>
      <c r="C189" s="52"/>
      <c r="D189" s="52"/>
      <c r="E189" s="52"/>
      <c r="F189" s="52"/>
      <c r="G189" s="52"/>
      <c r="H189" s="50"/>
      <c r="I189" s="201"/>
      <c r="J189" s="46"/>
      <c r="K189" s="46"/>
    </row>
    <row r="190" spans="1:11" ht="29.5" thickBot="1">
      <c r="A190" s="211" t="s">
        <v>756</v>
      </c>
      <c r="B190" s="51">
        <v>60</v>
      </c>
      <c r="C190" s="51">
        <v>240</v>
      </c>
      <c r="D190" s="51">
        <v>5.3</v>
      </c>
      <c r="E190" s="51">
        <v>5</v>
      </c>
      <c r="F190" s="51">
        <v>3.4</v>
      </c>
      <c r="G190" s="51">
        <v>204</v>
      </c>
      <c r="H190" s="50"/>
      <c r="I190" s="208">
        <v>196.2</v>
      </c>
      <c r="J190" s="46"/>
      <c r="K190" s="46"/>
    </row>
    <row r="191" spans="1:11" ht="15" thickBot="1">
      <c r="A191" s="211" t="s">
        <v>758</v>
      </c>
      <c r="B191" s="51">
        <v>200</v>
      </c>
      <c r="C191" s="51">
        <v>80</v>
      </c>
      <c r="D191" s="51">
        <v>7.6</v>
      </c>
      <c r="E191" s="51">
        <v>4</v>
      </c>
      <c r="F191" s="51">
        <v>0.54</v>
      </c>
      <c r="G191" s="51">
        <v>108</v>
      </c>
      <c r="H191" s="50"/>
      <c r="I191" s="208">
        <v>93</v>
      </c>
      <c r="J191" s="46"/>
      <c r="K191" s="46"/>
    </row>
    <row r="192" spans="1:11" ht="16" thickBot="1">
      <c r="A192" s="220" t="s">
        <v>206</v>
      </c>
      <c r="B192" s="55">
        <v>260</v>
      </c>
      <c r="C192" s="55">
        <v>320</v>
      </c>
      <c r="D192" s="55">
        <v>12.9</v>
      </c>
      <c r="E192" s="55">
        <v>9</v>
      </c>
      <c r="F192" s="53"/>
      <c r="G192" s="55">
        <v>312</v>
      </c>
      <c r="H192" s="71">
        <v>113.88</v>
      </c>
      <c r="I192" s="210">
        <v>289.2</v>
      </c>
      <c r="J192" s="46"/>
      <c r="K192" s="46"/>
    </row>
    <row r="193" spans="1:11" ht="15" thickBot="1">
      <c r="A193" s="211"/>
      <c r="B193" s="50"/>
      <c r="C193" s="50"/>
      <c r="D193" s="50"/>
      <c r="E193" s="50"/>
      <c r="F193" s="50"/>
      <c r="G193" s="50"/>
      <c r="H193" s="50"/>
      <c r="I193" s="212">
        <v>0.93</v>
      </c>
      <c r="J193" s="46"/>
      <c r="K193" s="46"/>
    </row>
    <row r="194" spans="1:11" ht="15" thickBot="1">
      <c r="A194" s="766" t="s">
        <v>761</v>
      </c>
      <c r="B194" s="767"/>
      <c r="C194" s="50"/>
      <c r="D194" s="50"/>
      <c r="E194" s="50"/>
      <c r="F194" s="50"/>
      <c r="G194" s="50"/>
      <c r="H194" s="50"/>
      <c r="I194" s="201"/>
      <c r="J194" s="46"/>
      <c r="K194" s="46"/>
    </row>
    <row r="195" spans="1:11" ht="15" thickBot="1">
      <c r="A195" s="766" t="s">
        <v>762</v>
      </c>
      <c r="B195" s="767"/>
      <c r="C195" s="50"/>
      <c r="D195" s="50"/>
      <c r="E195" s="50"/>
      <c r="F195" s="50"/>
      <c r="G195" s="50"/>
      <c r="H195" s="50"/>
      <c r="I195" s="201"/>
      <c r="J195" s="46"/>
      <c r="K195" s="46"/>
    </row>
    <row r="196" spans="1:11" ht="15" thickBot="1">
      <c r="A196" s="211"/>
      <c r="B196" s="50"/>
      <c r="C196" s="50"/>
      <c r="D196" s="50"/>
      <c r="E196" s="50"/>
      <c r="F196" s="50"/>
      <c r="G196" s="50"/>
      <c r="H196" s="50"/>
      <c r="I196" s="203"/>
      <c r="J196" s="46"/>
      <c r="K196" s="46"/>
    </row>
    <row r="197" spans="1:11" ht="15" thickBot="1">
      <c r="A197" s="218" t="s">
        <v>745</v>
      </c>
      <c r="B197" s="48" t="s">
        <v>688</v>
      </c>
      <c r="C197" s="48" t="s">
        <v>689</v>
      </c>
      <c r="D197" s="48" t="s">
        <v>690</v>
      </c>
      <c r="E197" s="48" t="s">
        <v>691</v>
      </c>
      <c r="F197" s="48" t="s">
        <v>763</v>
      </c>
      <c r="G197" s="48" t="s">
        <v>746</v>
      </c>
      <c r="H197" s="48" t="s">
        <v>747</v>
      </c>
      <c r="I197" s="219" t="s">
        <v>746</v>
      </c>
      <c r="J197" s="46"/>
      <c r="K197" s="46"/>
    </row>
    <row r="198" spans="1:11" ht="15" thickBot="1">
      <c r="A198" s="211" t="s">
        <v>764</v>
      </c>
      <c r="B198" s="51">
        <v>100</v>
      </c>
      <c r="C198" s="51">
        <v>119</v>
      </c>
      <c r="D198" s="51">
        <v>20.3</v>
      </c>
      <c r="E198" s="51">
        <v>3.66</v>
      </c>
      <c r="F198" s="51">
        <v>7.1</v>
      </c>
      <c r="G198" s="51">
        <v>710</v>
      </c>
      <c r="H198" s="50"/>
      <c r="I198" s="208">
        <v>700.5</v>
      </c>
      <c r="J198" s="46"/>
      <c r="K198" s="46"/>
    </row>
    <row r="199" spans="1:11" ht="15" thickBot="1">
      <c r="A199" s="211" t="s">
        <v>765</v>
      </c>
      <c r="B199" s="51">
        <v>100</v>
      </c>
      <c r="C199" s="51">
        <v>147</v>
      </c>
      <c r="D199" s="51">
        <v>13.8</v>
      </c>
      <c r="E199" s="51">
        <v>9.6999999999999993</v>
      </c>
      <c r="F199" s="51">
        <v>3.19</v>
      </c>
      <c r="G199" s="51">
        <v>319</v>
      </c>
      <c r="H199" s="50"/>
      <c r="I199" s="208">
        <v>311.5</v>
      </c>
      <c r="J199" s="46"/>
      <c r="K199" s="46"/>
    </row>
    <row r="200" spans="1:11" ht="15" thickBot="1">
      <c r="A200" s="211" t="s">
        <v>766</v>
      </c>
      <c r="B200" s="51">
        <v>7</v>
      </c>
      <c r="C200" s="51">
        <v>63</v>
      </c>
      <c r="D200" s="51">
        <v>0</v>
      </c>
      <c r="E200" s="51">
        <v>7</v>
      </c>
      <c r="F200" s="51">
        <v>1</v>
      </c>
      <c r="G200" s="51">
        <v>7</v>
      </c>
      <c r="H200" s="50"/>
      <c r="I200" s="208">
        <v>6.16</v>
      </c>
      <c r="J200" s="46"/>
      <c r="K200" s="46"/>
    </row>
    <row r="201" spans="1:11" ht="15" thickBot="1">
      <c r="A201" s="211" t="s">
        <v>767</v>
      </c>
      <c r="B201" s="51">
        <v>50</v>
      </c>
      <c r="C201" s="51">
        <v>141</v>
      </c>
      <c r="D201" s="51">
        <v>4.0999999999999996</v>
      </c>
      <c r="E201" s="51">
        <v>2.35</v>
      </c>
      <c r="F201" s="51">
        <v>1.76</v>
      </c>
      <c r="G201" s="51">
        <v>88</v>
      </c>
      <c r="H201" s="50"/>
      <c r="I201" s="208">
        <v>85</v>
      </c>
      <c r="J201" s="46"/>
      <c r="K201" s="46"/>
    </row>
    <row r="202" spans="1:11" ht="16" thickBot="1">
      <c r="A202" s="220" t="s">
        <v>206</v>
      </c>
      <c r="B202" s="55">
        <v>257</v>
      </c>
      <c r="C202" s="55">
        <v>470</v>
      </c>
      <c r="D202" s="55">
        <v>38.200000000000003</v>
      </c>
      <c r="E202" s="55">
        <v>22.71</v>
      </c>
      <c r="F202" s="53"/>
      <c r="G202" s="55">
        <v>1124</v>
      </c>
      <c r="H202" s="71">
        <v>410.26</v>
      </c>
      <c r="I202" s="210">
        <v>1103.1600000000001</v>
      </c>
      <c r="J202" s="46"/>
      <c r="K202" s="46"/>
    </row>
    <row r="203" spans="1:11" ht="15" thickBot="1">
      <c r="A203" s="211"/>
      <c r="B203" s="50"/>
      <c r="C203" s="50"/>
      <c r="D203" s="50"/>
      <c r="E203" s="50"/>
      <c r="F203" s="50"/>
      <c r="G203" s="50"/>
      <c r="H203" s="50"/>
      <c r="I203" s="212">
        <v>0.98</v>
      </c>
      <c r="J203" s="46"/>
      <c r="K203" s="46"/>
    </row>
    <row r="204" spans="1:11" ht="15" thickBot="1">
      <c r="A204" s="211"/>
      <c r="B204" s="50"/>
      <c r="C204" s="50"/>
      <c r="D204" s="50"/>
      <c r="E204" s="50"/>
      <c r="F204" s="50"/>
      <c r="G204" s="50"/>
      <c r="H204" s="50"/>
      <c r="I204" s="221"/>
      <c r="J204" s="46"/>
      <c r="K204" s="46"/>
    </row>
    <row r="205" spans="1:11" ht="15" thickBot="1">
      <c r="A205" s="211"/>
      <c r="B205" s="50"/>
      <c r="C205" s="50"/>
      <c r="D205" s="50"/>
      <c r="E205" s="50"/>
      <c r="F205" s="50"/>
      <c r="G205" s="50"/>
      <c r="H205" s="50"/>
      <c r="I205" s="221"/>
      <c r="J205" s="46"/>
      <c r="K205" s="46"/>
    </row>
    <row r="206" spans="1:11" ht="15" thickBot="1">
      <c r="A206" s="766" t="s">
        <v>768</v>
      </c>
      <c r="B206" s="767"/>
      <c r="C206" s="50"/>
      <c r="D206" s="50"/>
      <c r="E206" s="50"/>
      <c r="F206" s="50"/>
      <c r="G206" s="50"/>
      <c r="H206" s="50"/>
      <c r="I206" s="201"/>
      <c r="J206" s="46"/>
      <c r="K206" s="46"/>
    </row>
    <row r="207" spans="1:11" ht="15" thickBot="1">
      <c r="A207" s="766" t="s">
        <v>769</v>
      </c>
      <c r="B207" s="767"/>
      <c r="C207" s="50"/>
      <c r="D207" s="50"/>
      <c r="E207" s="50"/>
      <c r="F207" s="50"/>
      <c r="G207" s="50"/>
      <c r="H207" s="50"/>
      <c r="I207" s="221"/>
      <c r="J207" s="46"/>
      <c r="K207" s="46"/>
    </row>
    <row r="208" spans="1:11" ht="15" thickBot="1">
      <c r="A208" s="211"/>
      <c r="B208" s="50"/>
      <c r="C208" s="50"/>
      <c r="D208" s="50"/>
      <c r="E208" s="50"/>
      <c r="F208" s="50"/>
      <c r="G208" s="50"/>
      <c r="H208" s="50"/>
      <c r="I208" s="203"/>
      <c r="J208" s="46"/>
      <c r="K208" s="46"/>
    </row>
    <row r="209" spans="1:11" ht="15" thickBot="1">
      <c r="A209" s="218" t="s">
        <v>745</v>
      </c>
      <c r="B209" s="48" t="s">
        <v>688</v>
      </c>
      <c r="C209" s="48" t="s">
        <v>689</v>
      </c>
      <c r="D209" s="48" t="s">
        <v>690</v>
      </c>
      <c r="E209" s="48" t="s">
        <v>691</v>
      </c>
      <c r="F209" s="48" t="s">
        <v>763</v>
      </c>
      <c r="G209" s="48" t="s">
        <v>746</v>
      </c>
      <c r="H209" s="48" t="s">
        <v>747</v>
      </c>
      <c r="I209" s="219" t="s">
        <v>746</v>
      </c>
      <c r="J209" s="46"/>
      <c r="K209" s="46"/>
    </row>
    <row r="210" spans="1:11" ht="15" thickBot="1">
      <c r="A210" s="211" t="s">
        <v>770</v>
      </c>
      <c r="B210" s="51">
        <v>120</v>
      </c>
      <c r="C210" s="51">
        <v>108.6</v>
      </c>
      <c r="D210" s="51">
        <v>1.272</v>
      </c>
      <c r="E210" s="51">
        <v>0.6</v>
      </c>
      <c r="F210" s="51">
        <v>2.17</v>
      </c>
      <c r="G210" s="51">
        <v>260.39999999999998</v>
      </c>
      <c r="H210" s="50"/>
      <c r="I210" s="208">
        <v>250.2</v>
      </c>
      <c r="J210" s="46"/>
      <c r="K210" s="46"/>
    </row>
    <row r="211" spans="1:11" ht="15" thickBot="1">
      <c r="A211" s="211" t="s">
        <v>771</v>
      </c>
      <c r="B211" s="51">
        <v>100</v>
      </c>
      <c r="C211" s="51">
        <v>60.5</v>
      </c>
      <c r="D211" s="51">
        <v>0.88</v>
      </c>
      <c r="E211" s="51">
        <v>0.6</v>
      </c>
      <c r="F211" s="51">
        <v>0.99</v>
      </c>
      <c r="G211" s="51">
        <v>99</v>
      </c>
      <c r="H211" s="50"/>
      <c r="I211" s="208">
        <v>79</v>
      </c>
      <c r="J211" s="46"/>
      <c r="K211" s="46"/>
    </row>
    <row r="212" spans="1:11" ht="15" thickBot="1">
      <c r="A212" s="211" t="s">
        <v>772</v>
      </c>
      <c r="B212" s="51">
        <v>150</v>
      </c>
      <c r="C212" s="51">
        <v>73</v>
      </c>
      <c r="D212" s="51">
        <v>0.4</v>
      </c>
      <c r="E212" s="51">
        <v>0.4</v>
      </c>
      <c r="F212" s="51">
        <v>0.4</v>
      </c>
      <c r="G212" s="51">
        <v>60</v>
      </c>
      <c r="H212" s="50"/>
      <c r="I212" s="208">
        <v>40.5</v>
      </c>
      <c r="J212" s="46"/>
      <c r="K212" s="46"/>
    </row>
    <row r="213" spans="1:11" ht="16" thickBot="1">
      <c r="A213" s="222" t="s">
        <v>206</v>
      </c>
      <c r="B213" s="223">
        <v>370</v>
      </c>
      <c r="C213" s="223">
        <v>242.1</v>
      </c>
      <c r="D213" s="223">
        <v>2.552</v>
      </c>
      <c r="E213" s="223">
        <v>1.6</v>
      </c>
      <c r="F213" s="224"/>
      <c r="G213" s="223">
        <v>419.4</v>
      </c>
      <c r="H213" s="225">
        <v>153.08099999999999</v>
      </c>
      <c r="I213" s="226">
        <v>369.7</v>
      </c>
      <c r="J213" s="46"/>
      <c r="K213" s="46"/>
    </row>
    <row r="214" spans="1:11" ht="15" thickBot="1">
      <c r="A214" s="199"/>
      <c r="B214" s="199"/>
      <c r="C214" s="199"/>
      <c r="D214" s="199"/>
      <c r="E214" s="199"/>
      <c r="F214" s="199"/>
      <c r="G214" s="199"/>
      <c r="H214" s="199"/>
      <c r="I214" s="200">
        <v>0.88</v>
      </c>
      <c r="J214" s="46"/>
      <c r="K214" s="46"/>
    </row>
    <row r="215" spans="1:11" ht="15" thickBot="1">
      <c r="A215" s="50"/>
      <c r="B215" s="50"/>
      <c r="C215" s="50"/>
      <c r="D215" s="50"/>
      <c r="E215" s="50"/>
      <c r="F215" s="50"/>
      <c r="G215" s="50"/>
      <c r="H215" s="50"/>
      <c r="I215" s="56"/>
      <c r="J215" s="46"/>
      <c r="K215" s="46"/>
    </row>
    <row r="216" spans="1:11" ht="15" thickBot="1">
      <c r="A216" s="50"/>
      <c r="B216" s="50"/>
      <c r="C216" s="50"/>
      <c r="D216" s="50"/>
      <c r="E216" s="50"/>
      <c r="F216" s="50"/>
      <c r="G216" s="50"/>
      <c r="H216" s="50"/>
      <c r="I216" s="72">
        <v>0.92</v>
      </c>
      <c r="J216" s="46"/>
      <c r="K216" s="46"/>
    </row>
    <row r="217" spans="1:11">
      <c r="A217" s="45"/>
      <c r="B217" s="45"/>
      <c r="C217" s="45"/>
      <c r="D217" s="46"/>
      <c r="E217" s="46"/>
      <c r="F217" s="46"/>
      <c r="G217" s="46"/>
      <c r="H217" s="46"/>
      <c r="I217" s="46"/>
      <c r="J217" s="46"/>
      <c r="K217" s="46"/>
    </row>
    <row r="218" spans="1:11">
      <c r="A218" s="45"/>
      <c r="B218" s="45"/>
      <c r="C218" s="45"/>
      <c r="D218" s="46"/>
      <c r="E218" s="46"/>
      <c r="F218" s="46"/>
      <c r="G218" s="46"/>
      <c r="H218" s="46"/>
      <c r="I218" s="46"/>
      <c r="J218" s="46"/>
      <c r="K218" s="46"/>
    </row>
    <row r="219" spans="1:11">
      <c r="A219" s="45"/>
      <c r="B219" s="45"/>
      <c r="C219" s="45"/>
      <c r="D219" s="46"/>
      <c r="E219" s="46"/>
      <c r="F219" s="46"/>
      <c r="G219" s="46"/>
      <c r="H219" s="46"/>
      <c r="I219" s="46"/>
      <c r="J219" s="46"/>
      <c r="K219" s="46"/>
    </row>
    <row r="220" spans="1:11">
      <c r="A220" s="45"/>
      <c r="B220" s="45"/>
      <c r="C220" s="45"/>
      <c r="D220" s="46"/>
      <c r="E220" s="46"/>
      <c r="F220" s="46"/>
      <c r="G220" s="46"/>
      <c r="H220" s="46"/>
      <c r="I220" s="46"/>
      <c r="J220" s="46"/>
      <c r="K220" s="46"/>
    </row>
    <row r="221" spans="1:11">
      <c r="A221" s="45"/>
      <c r="B221" s="45"/>
      <c r="C221" s="45"/>
      <c r="D221" s="46"/>
      <c r="E221" s="46"/>
      <c r="F221" s="46"/>
      <c r="G221" s="46"/>
      <c r="H221" s="46"/>
      <c r="I221" s="46"/>
      <c r="J221" s="46"/>
      <c r="K221" s="46"/>
    </row>
    <row r="222" spans="1:11">
      <c r="A222" s="45"/>
      <c r="B222" s="45"/>
      <c r="C222" s="45"/>
      <c r="D222" s="46"/>
      <c r="E222" s="46"/>
      <c r="F222" s="46"/>
      <c r="G222" s="46"/>
      <c r="H222" s="46"/>
      <c r="I222" s="46"/>
      <c r="J222" s="46"/>
      <c r="K222" s="46"/>
    </row>
    <row r="223" spans="1:11">
      <c r="A223" s="45"/>
      <c r="B223" s="45"/>
      <c r="C223" s="45"/>
      <c r="D223" s="46"/>
      <c r="E223" s="46"/>
      <c r="F223" s="46"/>
      <c r="G223" s="46"/>
      <c r="H223" s="46"/>
      <c r="I223" s="46"/>
      <c r="J223" s="46"/>
      <c r="K223" s="46"/>
    </row>
    <row r="224" spans="1:11">
      <c r="A224" s="45"/>
      <c r="B224" s="45"/>
      <c r="C224" s="45"/>
      <c r="D224" s="46"/>
      <c r="E224" s="46"/>
      <c r="F224" s="46"/>
      <c r="G224" s="46"/>
      <c r="H224" s="46"/>
      <c r="I224" s="46"/>
      <c r="J224" s="46"/>
      <c r="K224" s="46"/>
    </row>
    <row r="225" spans="1:11">
      <c r="A225" s="45"/>
      <c r="B225" s="45"/>
      <c r="C225" s="45"/>
      <c r="D225" s="46"/>
      <c r="E225" s="46"/>
      <c r="F225" s="46"/>
      <c r="G225" s="46"/>
      <c r="H225" s="46"/>
      <c r="I225" s="46"/>
      <c r="J225" s="46"/>
      <c r="K225" s="46"/>
    </row>
    <row r="226" spans="1:11">
      <c r="A226" s="45"/>
      <c r="B226" s="45"/>
      <c r="C226" s="45"/>
      <c r="D226" s="46"/>
      <c r="E226" s="46"/>
      <c r="F226" s="46"/>
      <c r="G226" s="46"/>
      <c r="H226" s="46"/>
      <c r="I226" s="46"/>
      <c r="J226" s="46"/>
      <c r="K226" s="46"/>
    </row>
    <row r="227" spans="1:11">
      <c r="A227" s="45"/>
      <c r="B227" s="45"/>
      <c r="C227" s="45"/>
      <c r="D227" s="46"/>
      <c r="E227" s="46"/>
      <c r="F227" s="46"/>
      <c r="G227" s="46"/>
      <c r="H227" s="46"/>
      <c r="I227" s="46"/>
      <c r="J227" s="46"/>
      <c r="K227" s="46"/>
    </row>
    <row r="228" spans="1:11">
      <c r="A228" s="45"/>
      <c r="B228" s="45"/>
      <c r="C228" s="45"/>
      <c r="D228" s="46"/>
      <c r="E228" s="46"/>
      <c r="F228" s="46"/>
      <c r="G228" s="46"/>
      <c r="H228" s="46"/>
      <c r="I228" s="46"/>
      <c r="J228" s="46"/>
      <c r="K228" s="46"/>
    </row>
    <row r="229" spans="1:11">
      <c r="A229" s="45"/>
      <c r="B229" s="45"/>
      <c r="C229" s="45"/>
      <c r="D229" s="46"/>
      <c r="E229" s="46"/>
      <c r="F229" s="46"/>
      <c r="G229" s="46"/>
      <c r="H229" s="46"/>
      <c r="I229" s="46"/>
      <c r="J229" s="46"/>
      <c r="K229" s="46"/>
    </row>
    <row r="230" spans="1:11">
      <c r="A230" s="45"/>
      <c r="B230" s="45"/>
      <c r="C230" s="45"/>
      <c r="D230" s="46"/>
      <c r="E230" s="46"/>
      <c r="F230" s="46"/>
      <c r="G230" s="46"/>
      <c r="H230" s="46"/>
      <c r="I230" s="46"/>
      <c r="J230" s="46"/>
      <c r="K230" s="46"/>
    </row>
    <row r="231" spans="1:11">
      <c r="A231" s="45"/>
      <c r="B231" s="45"/>
      <c r="C231" s="45"/>
      <c r="D231" s="46"/>
      <c r="E231" s="46"/>
      <c r="F231" s="46"/>
      <c r="G231" s="46"/>
      <c r="H231" s="46"/>
      <c r="I231" s="46"/>
      <c r="J231" s="46"/>
      <c r="K231" s="46"/>
    </row>
    <row r="232" spans="1:11">
      <c r="A232" s="45"/>
      <c r="B232" s="45"/>
      <c r="C232" s="45"/>
      <c r="D232" s="46"/>
      <c r="E232" s="46"/>
      <c r="F232" s="46"/>
      <c r="G232" s="46"/>
      <c r="H232" s="46"/>
      <c r="I232" s="46"/>
      <c r="J232" s="46"/>
      <c r="K232" s="46"/>
    </row>
    <row r="233" spans="1:11">
      <c r="A233" s="45"/>
      <c r="B233" s="45"/>
      <c r="C233" s="45"/>
      <c r="D233" s="46"/>
      <c r="E233" s="46"/>
      <c r="F233" s="46"/>
      <c r="G233" s="46"/>
      <c r="H233" s="46"/>
      <c r="I233" s="46"/>
      <c r="J233" s="46"/>
      <c r="K233" s="46"/>
    </row>
    <row r="234" spans="1:11">
      <c r="A234" s="45"/>
      <c r="B234" s="45"/>
      <c r="C234" s="45"/>
      <c r="D234" s="46"/>
      <c r="E234" s="46"/>
      <c r="F234" s="46"/>
      <c r="G234" s="46"/>
      <c r="H234" s="46"/>
      <c r="I234" s="46"/>
      <c r="J234" s="46"/>
      <c r="K234" s="46"/>
    </row>
    <row r="235" spans="1:11">
      <c r="A235" s="45"/>
      <c r="B235" s="45"/>
      <c r="C235" s="45"/>
      <c r="D235" s="46"/>
      <c r="E235" s="46"/>
      <c r="F235" s="46"/>
      <c r="G235" s="46"/>
      <c r="H235" s="46"/>
      <c r="I235" s="46"/>
      <c r="J235" s="46"/>
      <c r="K235" s="46"/>
    </row>
    <row r="236" spans="1:11">
      <c r="A236" s="45"/>
      <c r="B236" s="45"/>
      <c r="C236" s="45"/>
      <c r="D236" s="46"/>
      <c r="E236" s="46"/>
      <c r="F236" s="46"/>
      <c r="G236" s="46"/>
      <c r="H236" s="46"/>
      <c r="I236" s="46"/>
      <c r="J236" s="46"/>
      <c r="K236" s="46"/>
    </row>
    <row r="237" spans="1:11">
      <c r="A237" s="45"/>
      <c r="B237" s="45"/>
      <c r="C237" s="45"/>
      <c r="D237" s="46"/>
      <c r="E237" s="46"/>
      <c r="F237" s="46"/>
      <c r="G237" s="46"/>
      <c r="H237" s="46"/>
      <c r="I237" s="46"/>
      <c r="J237" s="46"/>
      <c r="K237" s="46"/>
    </row>
    <row r="238" spans="1:11">
      <c r="A238" s="45"/>
      <c r="B238" s="45"/>
      <c r="C238" s="45"/>
      <c r="D238" s="46"/>
      <c r="E238" s="46"/>
      <c r="F238" s="46"/>
      <c r="G238" s="46"/>
      <c r="H238" s="46"/>
      <c r="I238" s="46"/>
      <c r="J238" s="46"/>
      <c r="K238" s="46"/>
    </row>
    <row r="239" spans="1:11">
      <c r="A239" s="45"/>
      <c r="B239" s="45"/>
      <c r="C239" s="45"/>
      <c r="D239" s="46"/>
      <c r="E239" s="46"/>
      <c r="F239" s="46"/>
      <c r="G239" s="46"/>
      <c r="H239" s="46"/>
      <c r="I239" s="46"/>
      <c r="J239" s="46"/>
      <c r="K239" s="46"/>
    </row>
    <row r="240" spans="1:11">
      <c r="A240" s="45"/>
      <c r="B240" s="45"/>
      <c r="C240" s="45"/>
      <c r="D240" s="46"/>
      <c r="E240" s="46"/>
      <c r="F240" s="46"/>
      <c r="G240" s="46"/>
      <c r="H240" s="46"/>
      <c r="I240" s="46"/>
      <c r="J240" s="46"/>
      <c r="K240" s="46"/>
    </row>
    <row r="241" spans="1:11">
      <c r="A241" s="45"/>
      <c r="B241" s="45"/>
      <c r="C241" s="45"/>
      <c r="D241" s="46"/>
      <c r="E241" s="46"/>
      <c r="F241" s="46"/>
      <c r="G241" s="46"/>
      <c r="H241" s="46"/>
      <c r="I241" s="46"/>
      <c r="J241" s="46"/>
      <c r="K241" s="46"/>
    </row>
    <row r="242" spans="1:11">
      <c r="A242" s="45"/>
      <c r="B242" s="45"/>
      <c r="C242" s="45"/>
      <c r="D242" s="46"/>
      <c r="E242" s="46"/>
      <c r="F242" s="46"/>
      <c r="G242" s="46"/>
      <c r="H242" s="46"/>
      <c r="I242" s="46"/>
      <c r="J242" s="46"/>
      <c r="K242" s="46"/>
    </row>
    <row r="243" spans="1:11">
      <c r="A243" s="45"/>
      <c r="B243" s="45"/>
      <c r="C243" s="45"/>
      <c r="D243" s="46"/>
      <c r="E243" s="46"/>
      <c r="F243" s="46"/>
      <c r="G243" s="46"/>
      <c r="H243" s="46"/>
      <c r="I243" s="46"/>
      <c r="J243" s="46"/>
      <c r="K243" s="46"/>
    </row>
    <row r="244" spans="1:11">
      <c r="A244" s="45"/>
      <c r="B244" s="45"/>
      <c r="C244" s="45"/>
      <c r="D244" s="46"/>
      <c r="E244" s="46"/>
      <c r="F244" s="46"/>
      <c r="G244" s="46"/>
      <c r="H244" s="46"/>
      <c r="I244" s="46"/>
      <c r="J244" s="46"/>
      <c r="K244" s="46"/>
    </row>
    <row r="245" spans="1:11">
      <c r="A245" s="45"/>
      <c r="B245" s="45"/>
      <c r="C245" s="45"/>
      <c r="D245" s="46"/>
      <c r="E245" s="46"/>
      <c r="F245" s="46"/>
      <c r="G245" s="46"/>
      <c r="H245" s="46"/>
      <c r="I245" s="46"/>
      <c r="J245" s="46"/>
      <c r="K245" s="46"/>
    </row>
    <row r="246" spans="1:11">
      <c r="A246" s="45"/>
      <c r="B246" s="45"/>
      <c r="C246" s="45"/>
      <c r="D246" s="46"/>
      <c r="E246" s="46"/>
      <c r="F246" s="46"/>
      <c r="G246" s="46"/>
      <c r="H246" s="46"/>
      <c r="I246" s="46"/>
      <c r="J246" s="46"/>
      <c r="K246" s="46"/>
    </row>
    <row r="247" spans="1:11">
      <c r="A247" s="45"/>
      <c r="B247" s="45"/>
      <c r="C247" s="45"/>
      <c r="D247" s="46"/>
      <c r="E247" s="46"/>
      <c r="F247" s="46"/>
      <c r="G247" s="46"/>
      <c r="H247" s="46"/>
      <c r="I247" s="46"/>
      <c r="J247" s="46"/>
      <c r="K247" s="46"/>
    </row>
    <row r="248" spans="1:11">
      <c r="A248" s="45"/>
      <c r="B248" s="45"/>
      <c r="C248" s="45"/>
      <c r="D248" s="46"/>
      <c r="E248" s="46"/>
      <c r="F248" s="46"/>
      <c r="G248" s="46"/>
      <c r="H248" s="46"/>
      <c r="I248" s="46"/>
      <c r="J248" s="46"/>
      <c r="K248" s="46"/>
    </row>
    <row r="249" spans="1:11">
      <c r="A249" s="45"/>
      <c r="B249" s="45"/>
      <c r="C249" s="45"/>
      <c r="D249" s="46"/>
      <c r="E249" s="46"/>
      <c r="F249" s="46"/>
      <c r="G249" s="46"/>
      <c r="H249" s="46"/>
      <c r="I249" s="46"/>
      <c r="J249" s="46"/>
      <c r="K249" s="46"/>
    </row>
    <row r="250" spans="1:11">
      <c r="A250" s="45"/>
      <c r="B250" s="45"/>
      <c r="C250" s="45"/>
      <c r="D250" s="46"/>
      <c r="E250" s="46"/>
      <c r="F250" s="46"/>
      <c r="G250" s="46"/>
      <c r="H250" s="46"/>
      <c r="I250" s="46"/>
      <c r="J250" s="46"/>
      <c r="K250" s="46"/>
    </row>
    <row r="251" spans="1:11">
      <c r="A251" s="45"/>
      <c r="B251" s="45"/>
      <c r="C251" s="45"/>
      <c r="D251" s="46"/>
      <c r="E251" s="46"/>
      <c r="F251" s="46"/>
      <c r="G251" s="46"/>
      <c r="H251" s="46"/>
      <c r="I251" s="46"/>
      <c r="J251" s="46"/>
      <c r="K251" s="46"/>
    </row>
    <row r="252" spans="1:11">
      <c r="A252" s="45"/>
      <c r="B252" s="45"/>
      <c r="C252" s="45"/>
      <c r="D252" s="46"/>
      <c r="E252" s="46"/>
      <c r="F252" s="46"/>
      <c r="G252" s="46"/>
      <c r="H252" s="46"/>
      <c r="I252" s="46"/>
      <c r="J252" s="46"/>
      <c r="K252" s="46"/>
    </row>
    <row r="253" spans="1:11">
      <c r="A253" s="45"/>
      <c r="B253" s="45"/>
      <c r="C253" s="45"/>
      <c r="D253" s="46"/>
      <c r="E253" s="46"/>
      <c r="F253" s="46"/>
      <c r="G253" s="46"/>
      <c r="H253" s="46"/>
      <c r="I253" s="46"/>
      <c r="J253" s="46"/>
      <c r="K253" s="46"/>
    </row>
    <row r="254" spans="1:11">
      <c r="A254" s="45"/>
      <c r="B254" s="45"/>
      <c r="C254" s="45"/>
      <c r="D254" s="46"/>
      <c r="E254" s="46"/>
      <c r="F254" s="46"/>
      <c r="G254" s="46"/>
      <c r="H254" s="46"/>
      <c r="I254" s="46"/>
      <c r="J254" s="46"/>
      <c r="K254" s="46"/>
    </row>
    <row r="255" spans="1:11">
      <c r="A255" s="45"/>
      <c r="B255" s="45"/>
      <c r="C255" s="45"/>
      <c r="D255" s="46"/>
      <c r="E255" s="46"/>
      <c r="F255" s="46"/>
      <c r="G255" s="46"/>
      <c r="H255" s="46"/>
      <c r="I255" s="46"/>
      <c r="J255" s="46"/>
      <c r="K255" s="46"/>
    </row>
    <row r="256" spans="1:11">
      <c r="A256" s="45"/>
      <c r="B256" s="45"/>
      <c r="C256" s="45"/>
      <c r="D256" s="46"/>
      <c r="E256" s="46"/>
      <c r="F256" s="46"/>
      <c r="G256" s="46"/>
      <c r="H256" s="46"/>
      <c r="I256" s="46"/>
      <c r="J256" s="46"/>
      <c r="K256" s="46"/>
    </row>
    <row r="257" spans="1:11">
      <c r="A257" s="45"/>
      <c r="B257" s="45"/>
      <c r="C257" s="45"/>
      <c r="D257" s="46"/>
      <c r="E257" s="46"/>
      <c r="F257" s="46"/>
      <c r="G257" s="46"/>
      <c r="H257" s="46"/>
      <c r="I257" s="46"/>
      <c r="J257" s="46"/>
      <c r="K257" s="46"/>
    </row>
    <row r="258" spans="1:11">
      <c r="A258" s="45"/>
      <c r="B258" s="45"/>
      <c r="C258" s="45"/>
      <c r="D258" s="46"/>
      <c r="E258" s="46"/>
      <c r="F258" s="46"/>
      <c r="G258" s="46"/>
      <c r="H258" s="46"/>
      <c r="I258" s="46"/>
      <c r="J258" s="46"/>
      <c r="K258" s="46"/>
    </row>
    <row r="259" spans="1:11">
      <c r="A259" s="45"/>
      <c r="B259" s="45"/>
      <c r="C259" s="45"/>
      <c r="D259" s="46"/>
      <c r="E259" s="46"/>
      <c r="F259" s="46"/>
      <c r="G259" s="46"/>
      <c r="H259" s="46"/>
      <c r="I259" s="46"/>
      <c r="J259" s="46"/>
      <c r="K259" s="46"/>
    </row>
    <row r="260" spans="1:11">
      <c r="A260" s="45"/>
      <c r="B260" s="45"/>
      <c r="C260" s="45"/>
      <c r="D260" s="46"/>
      <c r="E260" s="46"/>
      <c r="F260" s="46"/>
      <c r="G260" s="46"/>
      <c r="H260" s="46"/>
      <c r="I260" s="46"/>
      <c r="J260" s="46"/>
      <c r="K260" s="46"/>
    </row>
    <row r="261" spans="1:11">
      <c r="A261" s="45"/>
      <c r="B261" s="45"/>
      <c r="C261" s="45"/>
      <c r="D261" s="46"/>
      <c r="E261" s="46"/>
      <c r="F261" s="46"/>
      <c r="G261" s="46"/>
      <c r="H261" s="46"/>
      <c r="I261" s="46"/>
      <c r="J261" s="46"/>
      <c r="K261" s="46"/>
    </row>
    <row r="262" spans="1:11">
      <c r="A262" s="45"/>
      <c r="B262" s="45"/>
      <c r="C262" s="45"/>
      <c r="D262" s="46"/>
      <c r="E262" s="46"/>
      <c r="F262" s="46"/>
      <c r="G262" s="46"/>
      <c r="H262" s="46"/>
      <c r="I262" s="46"/>
      <c r="J262" s="46"/>
      <c r="K262" s="46"/>
    </row>
    <row r="263" spans="1:11">
      <c r="A263" s="45"/>
      <c r="B263" s="45"/>
      <c r="C263" s="45"/>
      <c r="D263" s="46"/>
      <c r="E263" s="46"/>
      <c r="F263" s="46"/>
      <c r="G263" s="46"/>
      <c r="H263" s="46"/>
      <c r="I263" s="46"/>
      <c r="J263" s="46"/>
      <c r="K263" s="46"/>
    </row>
    <row r="264" spans="1:11">
      <c r="A264" s="45"/>
      <c r="B264" s="45"/>
      <c r="C264" s="45"/>
      <c r="D264" s="46"/>
      <c r="E264" s="46"/>
      <c r="F264" s="46"/>
      <c r="G264" s="46"/>
      <c r="H264" s="46"/>
      <c r="I264" s="46"/>
      <c r="J264" s="46"/>
      <c r="K264" s="46"/>
    </row>
    <row r="265" spans="1:11">
      <c r="A265" s="45"/>
      <c r="B265" s="45"/>
      <c r="C265" s="45"/>
      <c r="D265" s="46"/>
      <c r="E265" s="46"/>
      <c r="F265" s="46"/>
      <c r="G265" s="46"/>
      <c r="H265" s="46"/>
      <c r="I265" s="46"/>
      <c r="J265" s="46"/>
      <c r="K265" s="46"/>
    </row>
    <row r="266" spans="1:11">
      <c r="A266" s="45"/>
      <c r="B266" s="45"/>
      <c r="C266" s="45"/>
      <c r="D266" s="46"/>
      <c r="E266" s="46"/>
      <c r="F266" s="46"/>
      <c r="G266" s="46"/>
      <c r="H266" s="46"/>
      <c r="I266" s="46"/>
      <c r="J266" s="46"/>
      <c r="K266" s="46"/>
    </row>
    <row r="267" spans="1:11">
      <c r="A267" s="45"/>
      <c r="B267" s="45"/>
      <c r="C267" s="45"/>
      <c r="D267" s="46"/>
      <c r="E267" s="46"/>
      <c r="F267" s="46"/>
      <c r="G267" s="46"/>
      <c r="H267" s="46"/>
      <c r="I267" s="46"/>
      <c r="J267" s="46"/>
      <c r="K267" s="46"/>
    </row>
    <row r="268" spans="1:11">
      <c r="A268" s="45"/>
      <c r="B268" s="45"/>
      <c r="C268" s="45"/>
      <c r="D268" s="46"/>
      <c r="E268" s="46"/>
      <c r="F268" s="46"/>
      <c r="G268" s="46"/>
      <c r="H268" s="46"/>
      <c r="I268" s="46"/>
      <c r="J268" s="46"/>
      <c r="K268" s="46"/>
    </row>
    <row r="269" spans="1:11">
      <c r="A269" s="45"/>
      <c r="B269" s="45"/>
      <c r="C269" s="45"/>
      <c r="D269" s="46"/>
      <c r="E269" s="46"/>
      <c r="F269" s="46"/>
      <c r="G269" s="46"/>
      <c r="H269" s="46"/>
      <c r="I269" s="46"/>
      <c r="J269" s="46"/>
      <c r="K269" s="46"/>
    </row>
    <row r="270" spans="1:11">
      <c r="A270" s="45"/>
      <c r="B270" s="45"/>
      <c r="C270" s="45"/>
      <c r="D270" s="46"/>
      <c r="E270" s="46"/>
      <c r="F270" s="46"/>
      <c r="G270" s="46"/>
      <c r="H270" s="46"/>
      <c r="I270" s="46"/>
      <c r="J270" s="46"/>
      <c r="K270" s="46"/>
    </row>
    <row r="271" spans="1:11">
      <c r="A271" s="45"/>
      <c r="B271" s="45"/>
      <c r="C271" s="45"/>
      <c r="D271" s="46"/>
      <c r="E271" s="46"/>
      <c r="F271" s="46"/>
      <c r="G271" s="46"/>
      <c r="H271" s="46"/>
      <c r="I271" s="46"/>
      <c r="J271" s="46"/>
      <c r="K271" s="46"/>
    </row>
    <row r="272" spans="1:11">
      <c r="A272" s="45"/>
      <c r="B272" s="45"/>
      <c r="C272" s="45"/>
      <c r="D272" s="46"/>
      <c r="E272" s="46"/>
      <c r="F272" s="46"/>
      <c r="G272" s="46"/>
      <c r="H272" s="46"/>
      <c r="I272" s="46"/>
      <c r="J272" s="46"/>
      <c r="K272" s="46"/>
    </row>
    <row r="273" spans="1:11">
      <c r="A273" s="45"/>
      <c r="B273" s="45"/>
      <c r="C273" s="45"/>
      <c r="D273" s="46"/>
      <c r="E273" s="46"/>
      <c r="F273" s="46"/>
      <c r="G273" s="46"/>
      <c r="H273" s="46"/>
      <c r="I273" s="46"/>
      <c r="J273" s="46"/>
      <c r="K273" s="46"/>
    </row>
    <row r="274" spans="1:11">
      <c r="A274" s="45"/>
      <c r="B274" s="45"/>
      <c r="C274" s="45"/>
      <c r="D274" s="46"/>
      <c r="E274" s="46"/>
      <c r="F274" s="46"/>
      <c r="G274" s="46"/>
      <c r="H274" s="46"/>
      <c r="I274" s="46"/>
      <c r="J274" s="46"/>
      <c r="K274" s="46"/>
    </row>
    <row r="275" spans="1:11">
      <c r="A275" s="45"/>
      <c r="B275" s="45"/>
      <c r="C275" s="45"/>
      <c r="D275" s="46"/>
      <c r="E275" s="46"/>
      <c r="F275" s="46"/>
      <c r="G275" s="46"/>
      <c r="H275" s="46"/>
      <c r="I275" s="46"/>
      <c r="J275" s="46"/>
      <c r="K275" s="46"/>
    </row>
    <row r="276" spans="1:11">
      <c r="A276" s="45"/>
      <c r="B276" s="45"/>
      <c r="C276" s="45"/>
      <c r="D276" s="46"/>
      <c r="E276" s="46"/>
      <c r="F276" s="46"/>
      <c r="G276" s="46"/>
      <c r="H276" s="46"/>
      <c r="I276" s="46"/>
      <c r="J276" s="46"/>
      <c r="K276" s="46"/>
    </row>
    <row r="277" spans="1:11">
      <c r="A277" s="45"/>
      <c r="B277" s="45"/>
      <c r="C277" s="45"/>
      <c r="D277" s="46"/>
      <c r="E277" s="46"/>
      <c r="F277" s="46"/>
      <c r="G277" s="46"/>
      <c r="H277" s="46"/>
      <c r="I277" s="46"/>
      <c r="J277" s="46"/>
      <c r="K277" s="46"/>
    </row>
    <row r="278" spans="1:11">
      <c r="A278" s="45"/>
      <c r="B278" s="45"/>
      <c r="C278" s="45"/>
      <c r="D278" s="46"/>
      <c r="E278" s="46"/>
      <c r="F278" s="46"/>
      <c r="G278" s="46"/>
      <c r="H278" s="46"/>
      <c r="I278" s="46"/>
      <c r="J278" s="46"/>
      <c r="K278" s="46"/>
    </row>
    <row r="279" spans="1:11">
      <c r="A279" s="45"/>
      <c r="B279" s="45"/>
      <c r="C279" s="45"/>
      <c r="D279" s="46"/>
      <c r="E279" s="46"/>
      <c r="F279" s="46"/>
      <c r="G279" s="46"/>
      <c r="H279" s="46"/>
      <c r="I279" s="46"/>
      <c r="J279" s="46"/>
      <c r="K279" s="46"/>
    </row>
    <row r="280" spans="1:11">
      <c r="A280" s="45"/>
      <c r="B280" s="45"/>
      <c r="C280" s="45"/>
      <c r="D280" s="46"/>
      <c r="E280" s="46"/>
      <c r="F280" s="46"/>
      <c r="G280" s="46"/>
      <c r="H280" s="46"/>
      <c r="I280" s="46"/>
      <c r="J280" s="46"/>
      <c r="K280" s="46"/>
    </row>
    <row r="281" spans="1:11">
      <c r="A281" s="45"/>
      <c r="B281" s="45"/>
      <c r="C281" s="45"/>
      <c r="D281" s="46"/>
      <c r="E281" s="46"/>
      <c r="F281" s="46"/>
      <c r="G281" s="46"/>
      <c r="H281" s="46"/>
      <c r="I281" s="46"/>
      <c r="J281" s="46"/>
      <c r="K281" s="46"/>
    </row>
    <row r="282" spans="1:11">
      <c r="A282" s="45"/>
      <c r="B282" s="45"/>
      <c r="C282" s="45"/>
      <c r="D282" s="46"/>
      <c r="E282" s="46"/>
      <c r="F282" s="46"/>
      <c r="G282" s="46"/>
      <c r="H282" s="46"/>
      <c r="I282" s="46"/>
      <c r="J282" s="46"/>
      <c r="K282" s="46"/>
    </row>
    <row r="283" spans="1:11">
      <c r="A283" s="45"/>
      <c r="B283" s="45"/>
      <c r="C283" s="45"/>
      <c r="D283" s="46"/>
      <c r="E283" s="46"/>
      <c r="F283" s="46"/>
      <c r="G283" s="46"/>
      <c r="H283" s="46"/>
      <c r="I283" s="46"/>
      <c r="J283" s="46"/>
      <c r="K283" s="46"/>
    </row>
    <row r="284" spans="1:11">
      <c r="A284" s="45"/>
      <c r="B284" s="45"/>
      <c r="C284" s="45"/>
      <c r="D284" s="46"/>
      <c r="E284" s="46"/>
      <c r="F284" s="46"/>
      <c r="G284" s="46"/>
      <c r="H284" s="46"/>
      <c r="I284" s="46"/>
      <c r="J284" s="46"/>
      <c r="K284" s="46"/>
    </row>
    <row r="285" spans="1:11">
      <c r="A285" s="45"/>
      <c r="B285" s="45"/>
      <c r="C285" s="45"/>
      <c r="D285" s="46"/>
      <c r="E285" s="46"/>
      <c r="F285" s="46"/>
      <c r="G285" s="46"/>
      <c r="H285" s="46"/>
      <c r="I285" s="46"/>
      <c r="J285" s="46"/>
      <c r="K285" s="46"/>
    </row>
    <row r="286" spans="1:11">
      <c r="A286" s="45"/>
      <c r="B286" s="45"/>
      <c r="C286" s="45"/>
      <c r="D286" s="46"/>
      <c r="E286" s="46"/>
      <c r="F286" s="46"/>
      <c r="G286" s="46"/>
      <c r="H286" s="46"/>
      <c r="I286" s="46"/>
      <c r="J286" s="46"/>
      <c r="K286" s="46"/>
    </row>
    <row r="287" spans="1:11">
      <c r="A287" s="45"/>
      <c r="B287" s="45"/>
      <c r="C287" s="45"/>
      <c r="D287" s="46"/>
      <c r="E287" s="46"/>
      <c r="F287" s="46"/>
      <c r="G287" s="46"/>
      <c r="H287" s="46"/>
      <c r="I287" s="46"/>
      <c r="J287" s="46"/>
      <c r="K287" s="46"/>
    </row>
    <row r="288" spans="1:11">
      <c r="A288" s="45"/>
      <c r="B288" s="45"/>
      <c r="C288" s="45"/>
      <c r="D288" s="46"/>
      <c r="E288" s="46"/>
      <c r="F288" s="46"/>
      <c r="G288" s="46"/>
      <c r="H288" s="46"/>
      <c r="I288" s="46"/>
      <c r="J288" s="46"/>
      <c r="K288" s="46"/>
    </row>
    <row r="289" spans="1:11">
      <c r="A289" s="45"/>
      <c r="B289" s="45"/>
      <c r="C289" s="45"/>
      <c r="D289" s="46"/>
      <c r="E289" s="46"/>
      <c r="F289" s="46"/>
      <c r="G289" s="46"/>
      <c r="H289" s="46"/>
      <c r="I289" s="46"/>
      <c r="J289" s="46"/>
      <c r="K289" s="46"/>
    </row>
    <row r="290" spans="1:11">
      <c r="A290" s="45"/>
      <c r="B290" s="45"/>
      <c r="C290" s="45"/>
      <c r="D290" s="46"/>
      <c r="E290" s="46"/>
      <c r="F290" s="46"/>
      <c r="G290" s="46"/>
      <c r="H290" s="46"/>
      <c r="I290" s="46"/>
      <c r="J290" s="46"/>
      <c r="K290" s="46"/>
    </row>
    <row r="291" spans="1:11">
      <c r="A291" s="45"/>
      <c r="B291" s="45"/>
      <c r="C291" s="45"/>
      <c r="D291" s="46"/>
      <c r="E291" s="46"/>
      <c r="F291" s="46"/>
      <c r="G291" s="46"/>
      <c r="H291" s="46"/>
      <c r="I291" s="46"/>
      <c r="J291" s="46"/>
      <c r="K291" s="46"/>
    </row>
    <row r="292" spans="1:11">
      <c r="A292" s="45"/>
      <c r="B292" s="45"/>
      <c r="C292" s="45"/>
      <c r="D292" s="46"/>
      <c r="E292" s="46"/>
      <c r="F292" s="46"/>
      <c r="G292" s="46"/>
      <c r="H292" s="46"/>
      <c r="I292" s="46"/>
      <c r="J292" s="46"/>
      <c r="K292" s="46"/>
    </row>
    <row r="293" spans="1:11">
      <c r="A293" s="45"/>
      <c r="B293" s="45"/>
      <c r="C293" s="45"/>
      <c r="D293" s="46"/>
      <c r="E293" s="46"/>
      <c r="F293" s="46"/>
      <c r="G293" s="46"/>
      <c r="H293" s="46"/>
      <c r="I293" s="46"/>
      <c r="J293" s="46"/>
      <c r="K293" s="46"/>
    </row>
    <row r="294" spans="1:11">
      <c r="A294" s="45"/>
      <c r="B294" s="45"/>
      <c r="C294" s="45"/>
      <c r="D294" s="46"/>
      <c r="E294" s="46"/>
      <c r="F294" s="46"/>
      <c r="G294" s="46"/>
      <c r="H294" s="46"/>
      <c r="I294" s="46"/>
      <c r="J294" s="46"/>
      <c r="K294" s="46"/>
    </row>
    <row r="295" spans="1:11">
      <c r="A295" s="45"/>
      <c r="B295" s="45"/>
      <c r="C295" s="45"/>
      <c r="D295" s="46"/>
      <c r="E295" s="46"/>
      <c r="F295" s="46"/>
      <c r="G295" s="46"/>
      <c r="H295" s="46"/>
      <c r="I295" s="46"/>
      <c r="J295" s="46"/>
      <c r="K295" s="46"/>
    </row>
    <row r="296" spans="1:11">
      <c r="A296" s="45"/>
      <c r="B296" s="45"/>
      <c r="C296" s="45"/>
      <c r="D296" s="46"/>
      <c r="E296" s="46"/>
      <c r="F296" s="46"/>
      <c r="G296" s="46"/>
      <c r="H296" s="46"/>
      <c r="I296" s="46"/>
      <c r="J296" s="46"/>
      <c r="K296" s="46"/>
    </row>
    <row r="297" spans="1:11">
      <c r="A297" s="45"/>
      <c r="B297" s="45"/>
      <c r="C297" s="45"/>
      <c r="D297" s="46"/>
      <c r="E297" s="46"/>
      <c r="F297" s="46"/>
      <c r="G297" s="46"/>
      <c r="H297" s="46"/>
      <c r="I297" s="46"/>
      <c r="J297" s="46"/>
      <c r="K297" s="46"/>
    </row>
    <row r="298" spans="1:11">
      <c r="A298" s="45"/>
      <c r="B298" s="45"/>
      <c r="C298" s="45"/>
      <c r="D298" s="46"/>
      <c r="E298" s="46"/>
      <c r="F298" s="46"/>
      <c r="G298" s="46"/>
      <c r="H298" s="46"/>
      <c r="I298" s="46"/>
      <c r="J298" s="46"/>
      <c r="K298" s="46"/>
    </row>
    <row r="299" spans="1:11">
      <c r="A299" s="45"/>
      <c r="B299" s="45"/>
      <c r="C299" s="45"/>
      <c r="D299" s="46"/>
      <c r="E299" s="46"/>
      <c r="F299" s="46"/>
      <c r="G299" s="46"/>
      <c r="H299" s="46"/>
      <c r="I299" s="46"/>
      <c r="J299" s="46"/>
      <c r="K299" s="46"/>
    </row>
    <row r="300" spans="1:11">
      <c r="A300" s="45"/>
      <c r="B300" s="45"/>
      <c r="C300" s="45"/>
      <c r="D300" s="46"/>
      <c r="E300" s="46"/>
      <c r="F300" s="46"/>
      <c r="G300" s="46"/>
      <c r="H300" s="46"/>
      <c r="I300" s="46"/>
      <c r="J300" s="46"/>
      <c r="K300" s="46"/>
    </row>
    <row r="301" spans="1:11">
      <c r="A301" s="45"/>
      <c r="B301" s="45"/>
      <c r="C301" s="45"/>
      <c r="D301" s="46"/>
      <c r="E301" s="46"/>
      <c r="F301" s="46"/>
      <c r="G301" s="46"/>
      <c r="H301" s="46"/>
      <c r="I301" s="46"/>
      <c r="J301" s="46"/>
      <c r="K301" s="46"/>
    </row>
    <row r="302" spans="1:11">
      <c r="A302" s="45"/>
      <c r="B302" s="45"/>
      <c r="C302" s="45"/>
      <c r="D302" s="46"/>
      <c r="E302" s="46"/>
      <c r="F302" s="46"/>
      <c r="G302" s="46"/>
      <c r="H302" s="46"/>
      <c r="I302" s="46"/>
      <c r="J302" s="46"/>
      <c r="K302" s="46"/>
    </row>
    <row r="303" spans="1:11">
      <c r="A303" s="45"/>
      <c r="B303" s="45"/>
      <c r="C303" s="45"/>
      <c r="D303" s="46"/>
      <c r="E303" s="46"/>
      <c r="F303" s="46"/>
      <c r="G303" s="46"/>
      <c r="H303" s="46"/>
      <c r="I303" s="46"/>
      <c r="J303" s="46"/>
      <c r="K303" s="46"/>
    </row>
    <row r="304" spans="1:11">
      <c r="A304" s="45"/>
      <c r="B304" s="45"/>
      <c r="C304" s="45"/>
      <c r="D304" s="46"/>
      <c r="E304" s="46"/>
      <c r="F304" s="46"/>
      <c r="G304" s="46"/>
      <c r="H304" s="46"/>
      <c r="I304" s="46"/>
      <c r="J304" s="46"/>
      <c r="K304" s="46"/>
    </row>
    <row r="305" spans="1:11">
      <c r="A305" s="45"/>
      <c r="B305" s="45"/>
      <c r="C305" s="45"/>
      <c r="D305" s="46"/>
      <c r="E305" s="46"/>
      <c r="F305" s="46"/>
      <c r="G305" s="46"/>
      <c r="H305" s="46"/>
      <c r="I305" s="46"/>
      <c r="J305" s="46"/>
      <c r="K305" s="46"/>
    </row>
    <row r="306" spans="1:11">
      <c r="A306" s="45"/>
      <c r="B306" s="45"/>
      <c r="C306" s="45"/>
      <c r="D306" s="46"/>
      <c r="E306" s="46"/>
      <c r="F306" s="46"/>
      <c r="G306" s="46"/>
      <c r="H306" s="46"/>
      <c r="I306" s="46"/>
      <c r="J306" s="46"/>
      <c r="K306" s="46"/>
    </row>
    <row r="307" spans="1:11">
      <c r="A307" s="45"/>
      <c r="B307" s="45"/>
      <c r="C307" s="45"/>
      <c r="D307" s="46"/>
      <c r="E307" s="46"/>
      <c r="F307" s="46"/>
      <c r="G307" s="46"/>
      <c r="H307" s="46"/>
      <c r="I307" s="46"/>
      <c r="J307" s="46"/>
      <c r="K307" s="46"/>
    </row>
    <row r="308" spans="1:11">
      <c r="A308" s="45"/>
      <c r="B308" s="45"/>
      <c r="C308" s="45"/>
      <c r="D308" s="46"/>
      <c r="E308" s="46"/>
      <c r="F308" s="46"/>
      <c r="G308" s="46"/>
      <c r="H308" s="46"/>
      <c r="I308" s="46"/>
      <c r="J308" s="46"/>
      <c r="K308" s="46"/>
    </row>
    <row r="309" spans="1:11">
      <c r="A309" s="45"/>
      <c r="B309" s="45"/>
      <c r="C309" s="45"/>
      <c r="D309" s="46"/>
      <c r="E309" s="46"/>
      <c r="F309" s="46"/>
      <c r="G309" s="46"/>
      <c r="H309" s="46"/>
      <c r="I309" s="46"/>
      <c r="J309" s="46"/>
      <c r="K309" s="46"/>
    </row>
    <row r="310" spans="1:11">
      <c r="A310" s="45"/>
      <c r="B310" s="45"/>
      <c r="C310" s="45"/>
      <c r="D310" s="46"/>
      <c r="E310" s="46"/>
      <c r="F310" s="46"/>
      <c r="G310" s="46"/>
      <c r="H310" s="46"/>
      <c r="I310" s="46"/>
      <c r="J310" s="46"/>
      <c r="K310" s="46"/>
    </row>
    <row r="311" spans="1:11">
      <c r="A311" s="45"/>
      <c r="B311" s="45"/>
      <c r="C311" s="45"/>
      <c r="D311" s="46"/>
      <c r="E311" s="46"/>
      <c r="F311" s="46"/>
      <c r="G311" s="46"/>
      <c r="H311" s="46"/>
      <c r="I311" s="46"/>
      <c r="J311" s="46"/>
      <c r="K311" s="46"/>
    </row>
    <row r="312" spans="1:11">
      <c r="A312" s="45"/>
      <c r="B312" s="45"/>
      <c r="C312" s="45"/>
      <c r="D312" s="46"/>
      <c r="E312" s="46"/>
      <c r="F312" s="46"/>
      <c r="G312" s="46"/>
      <c r="H312" s="46"/>
      <c r="I312" s="46"/>
      <c r="J312" s="46"/>
      <c r="K312" s="46"/>
    </row>
    <row r="313" spans="1:11">
      <c r="A313" s="45"/>
      <c r="B313" s="45"/>
      <c r="C313" s="45"/>
      <c r="D313" s="46"/>
      <c r="E313" s="46"/>
      <c r="F313" s="46"/>
      <c r="G313" s="46"/>
      <c r="H313" s="46"/>
      <c r="I313" s="46"/>
      <c r="J313" s="46"/>
      <c r="K313" s="46"/>
    </row>
    <row r="314" spans="1:11">
      <c r="A314" s="45"/>
      <c r="B314" s="45"/>
      <c r="C314" s="45"/>
      <c r="D314" s="46"/>
      <c r="E314" s="46"/>
      <c r="F314" s="46"/>
      <c r="G314" s="46"/>
      <c r="H314" s="46"/>
      <c r="I314" s="46"/>
      <c r="J314" s="46"/>
      <c r="K314" s="46"/>
    </row>
    <row r="315" spans="1:11">
      <c r="A315" s="45"/>
      <c r="B315" s="45"/>
      <c r="C315" s="45"/>
      <c r="D315" s="46"/>
      <c r="E315" s="46"/>
      <c r="F315" s="46"/>
      <c r="G315" s="46"/>
      <c r="H315" s="46"/>
      <c r="I315" s="46"/>
      <c r="J315" s="46"/>
      <c r="K315" s="46"/>
    </row>
    <row r="316" spans="1:11">
      <c r="A316" s="45"/>
      <c r="B316" s="45"/>
      <c r="C316" s="45"/>
      <c r="D316" s="46"/>
      <c r="E316" s="46"/>
      <c r="F316" s="46"/>
      <c r="G316" s="46"/>
      <c r="H316" s="46"/>
      <c r="I316" s="46"/>
      <c r="J316" s="46"/>
      <c r="K316" s="46"/>
    </row>
    <row r="317" spans="1:11">
      <c r="A317" s="45"/>
      <c r="B317" s="45"/>
      <c r="C317" s="45"/>
      <c r="D317" s="46"/>
      <c r="E317" s="46"/>
      <c r="F317" s="46"/>
      <c r="G317" s="46"/>
      <c r="H317" s="46"/>
      <c r="I317" s="46"/>
      <c r="J317" s="46"/>
      <c r="K317" s="46"/>
    </row>
    <row r="318" spans="1:11">
      <c r="A318" s="45"/>
      <c r="B318" s="45"/>
      <c r="C318" s="45"/>
      <c r="D318" s="46"/>
      <c r="E318" s="46"/>
      <c r="F318" s="46"/>
      <c r="G318" s="46"/>
      <c r="H318" s="46"/>
      <c r="I318" s="46"/>
      <c r="J318" s="46"/>
      <c r="K318" s="46"/>
    </row>
    <row r="319" spans="1:11">
      <c r="A319" s="45"/>
      <c r="B319" s="45"/>
      <c r="C319" s="45"/>
      <c r="D319" s="46"/>
      <c r="E319" s="46"/>
      <c r="F319" s="46"/>
      <c r="G319" s="46"/>
      <c r="H319" s="46"/>
      <c r="I319" s="46"/>
      <c r="J319" s="46"/>
      <c r="K319" s="46"/>
    </row>
    <row r="320" spans="1:11">
      <c r="A320" s="45"/>
      <c r="B320" s="45"/>
      <c r="C320" s="45"/>
      <c r="D320" s="46"/>
      <c r="E320" s="46"/>
      <c r="F320" s="46"/>
      <c r="G320" s="46"/>
      <c r="H320" s="46"/>
      <c r="I320" s="46"/>
      <c r="J320" s="46"/>
      <c r="K320" s="46"/>
    </row>
    <row r="321" spans="1:11">
      <c r="A321" s="45"/>
      <c r="B321" s="45"/>
      <c r="C321" s="45"/>
      <c r="D321" s="46"/>
      <c r="E321" s="46"/>
      <c r="F321" s="46"/>
      <c r="G321" s="46"/>
      <c r="H321" s="46"/>
      <c r="I321" s="46"/>
      <c r="J321" s="46"/>
      <c r="K321" s="46"/>
    </row>
    <row r="322" spans="1:11">
      <c r="A322" s="45"/>
      <c r="B322" s="45"/>
      <c r="C322" s="45"/>
      <c r="D322" s="46"/>
      <c r="E322" s="46"/>
      <c r="F322" s="46"/>
      <c r="G322" s="46"/>
      <c r="H322" s="46"/>
      <c r="I322" s="46"/>
      <c r="J322" s="46"/>
      <c r="K322" s="46"/>
    </row>
    <row r="323" spans="1:11">
      <c r="A323" s="45"/>
      <c r="B323" s="45"/>
      <c r="C323" s="45"/>
      <c r="D323" s="46"/>
      <c r="E323" s="46"/>
      <c r="F323" s="46"/>
      <c r="G323" s="46"/>
      <c r="H323" s="46"/>
      <c r="I323" s="46"/>
      <c r="J323" s="46"/>
      <c r="K323" s="46"/>
    </row>
    <row r="324" spans="1:11">
      <c r="A324" s="45"/>
      <c r="B324" s="45"/>
      <c r="C324" s="45"/>
      <c r="D324" s="46"/>
      <c r="E324" s="46"/>
      <c r="F324" s="46"/>
      <c r="G324" s="46"/>
      <c r="H324" s="46"/>
      <c r="I324" s="46"/>
      <c r="J324" s="46"/>
      <c r="K324" s="46"/>
    </row>
    <row r="325" spans="1:11">
      <c r="A325" s="45"/>
      <c r="B325" s="45"/>
      <c r="C325" s="45"/>
      <c r="D325" s="46"/>
      <c r="E325" s="46"/>
      <c r="F325" s="46"/>
      <c r="G325" s="46"/>
      <c r="H325" s="46"/>
      <c r="I325" s="46"/>
      <c r="J325" s="46"/>
      <c r="K325" s="46"/>
    </row>
    <row r="326" spans="1:11">
      <c r="A326" s="45"/>
      <c r="B326" s="45"/>
      <c r="C326" s="45"/>
      <c r="D326" s="46"/>
      <c r="E326" s="46"/>
      <c r="F326" s="46"/>
      <c r="G326" s="46"/>
      <c r="H326" s="46"/>
      <c r="I326" s="46"/>
      <c r="J326" s="46"/>
      <c r="K326" s="46"/>
    </row>
    <row r="327" spans="1:11">
      <c r="A327" s="45"/>
      <c r="B327" s="45"/>
      <c r="C327" s="45"/>
      <c r="D327" s="46"/>
      <c r="E327" s="46"/>
      <c r="F327" s="46"/>
      <c r="G327" s="46"/>
      <c r="H327" s="46"/>
      <c r="I327" s="46"/>
      <c r="J327" s="46"/>
      <c r="K327" s="46"/>
    </row>
    <row r="328" spans="1:11">
      <c r="A328" s="45"/>
      <c r="B328" s="45"/>
      <c r="C328" s="45"/>
      <c r="D328" s="46"/>
      <c r="E328" s="46"/>
      <c r="F328" s="46"/>
      <c r="G328" s="46"/>
      <c r="H328" s="46"/>
      <c r="I328" s="46"/>
      <c r="J328" s="46"/>
      <c r="K328" s="46"/>
    </row>
    <row r="329" spans="1:11">
      <c r="A329" s="45"/>
      <c r="B329" s="45"/>
      <c r="C329" s="45"/>
      <c r="D329" s="46"/>
      <c r="E329" s="46"/>
      <c r="F329" s="46"/>
      <c r="G329" s="46"/>
      <c r="H329" s="46"/>
      <c r="I329" s="46"/>
      <c r="J329" s="46"/>
      <c r="K329" s="46"/>
    </row>
    <row r="330" spans="1:11">
      <c r="A330" s="45"/>
      <c r="B330" s="45"/>
      <c r="C330" s="45"/>
      <c r="D330" s="46"/>
      <c r="E330" s="46"/>
      <c r="F330" s="46"/>
      <c r="G330" s="46"/>
      <c r="H330" s="46"/>
      <c r="I330" s="46"/>
      <c r="J330" s="46"/>
      <c r="K330" s="46"/>
    </row>
    <row r="331" spans="1:11">
      <c r="A331" s="45"/>
      <c r="B331" s="45"/>
      <c r="C331" s="45"/>
      <c r="D331" s="46"/>
      <c r="E331" s="46"/>
      <c r="F331" s="46"/>
      <c r="G331" s="46"/>
      <c r="H331" s="46"/>
      <c r="I331" s="46"/>
      <c r="J331" s="46"/>
      <c r="K331" s="46"/>
    </row>
    <row r="332" spans="1:11">
      <c r="A332" s="45"/>
      <c r="B332" s="45"/>
      <c r="C332" s="45"/>
      <c r="D332" s="46"/>
      <c r="E332" s="46"/>
      <c r="F332" s="46"/>
      <c r="G332" s="46"/>
      <c r="H332" s="46"/>
      <c r="I332" s="46"/>
      <c r="J332" s="46"/>
      <c r="K332" s="46"/>
    </row>
    <row r="333" spans="1:11">
      <c r="A333" s="45"/>
      <c r="B333" s="45"/>
      <c r="C333" s="45"/>
      <c r="D333" s="46"/>
      <c r="E333" s="46"/>
      <c r="F333" s="46"/>
      <c r="G333" s="46"/>
      <c r="H333" s="46"/>
      <c r="I333" s="46"/>
      <c r="J333" s="46"/>
      <c r="K333" s="46"/>
    </row>
    <row r="334" spans="1:11">
      <c r="A334" s="45"/>
      <c r="B334" s="45"/>
      <c r="C334" s="45"/>
      <c r="D334" s="46"/>
      <c r="E334" s="46"/>
      <c r="F334" s="46"/>
      <c r="G334" s="46"/>
      <c r="H334" s="46"/>
      <c r="I334" s="46"/>
      <c r="J334" s="46"/>
      <c r="K334" s="46"/>
    </row>
    <row r="335" spans="1:11">
      <c r="A335" s="45"/>
      <c r="B335" s="45"/>
      <c r="C335" s="45"/>
      <c r="D335" s="46"/>
      <c r="E335" s="46"/>
      <c r="F335" s="46"/>
      <c r="G335" s="46"/>
      <c r="H335" s="46"/>
      <c r="I335" s="46"/>
      <c r="J335" s="46"/>
      <c r="K335" s="46"/>
    </row>
    <row r="336" spans="1:11">
      <c r="A336" s="45"/>
      <c r="B336" s="45"/>
      <c r="C336" s="45"/>
      <c r="D336" s="46"/>
      <c r="E336" s="46"/>
      <c r="F336" s="46"/>
      <c r="G336" s="46"/>
      <c r="H336" s="46"/>
      <c r="I336" s="46"/>
      <c r="J336" s="46"/>
      <c r="K336" s="46"/>
    </row>
    <row r="337" spans="1:11">
      <c r="A337" s="45"/>
      <c r="B337" s="45"/>
      <c r="C337" s="45"/>
      <c r="D337" s="46"/>
      <c r="E337" s="46"/>
      <c r="F337" s="46"/>
      <c r="G337" s="46"/>
      <c r="H337" s="46"/>
      <c r="I337" s="46"/>
      <c r="J337" s="46"/>
      <c r="K337" s="46"/>
    </row>
    <row r="338" spans="1:11">
      <c r="A338" s="45"/>
      <c r="B338" s="45"/>
      <c r="C338" s="45"/>
      <c r="D338" s="46"/>
      <c r="E338" s="46"/>
      <c r="F338" s="46"/>
      <c r="G338" s="46"/>
      <c r="H338" s="46"/>
      <c r="I338" s="46"/>
      <c r="J338" s="46"/>
      <c r="K338" s="46"/>
    </row>
    <row r="339" spans="1:11">
      <c r="A339" s="45"/>
      <c r="B339" s="45"/>
      <c r="C339" s="45"/>
      <c r="D339" s="46"/>
      <c r="E339" s="46"/>
      <c r="F339" s="46"/>
      <c r="G339" s="46"/>
      <c r="H339" s="46"/>
      <c r="I339" s="46"/>
      <c r="J339" s="46"/>
      <c r="K339" s="46"/>
    </row>
    <row r="340" spans="1:11">
      <c r="A340" s="45"/>
      <c r="B340" s="45"/>
      <c r="C340" s="45"/>
      <c r="D340" s="46"/>
      <c r="E340" s="46"/>
      <c r="F340" s="46"/>
      <c r="G340" s="46"/>
      <c r="H340" s="46"/>
      <c r="I340" s="46"/>
      <c r="J340" s="46"/>
      <c r="K340" s="46"/>
    </row>
    <row r="341" spans="1:11">
      <c r="A341" s="45"/>
      <c r="B341" s="45"/>
      <c r="C341" s="45"/>
      <c r="D341" s="46"/>
      <c r="E341" s="46"/>
      <c r="F341" s="46"/>
      <c r="G341" s="46"/>
      <c r="H341" s="46"/>
      <c r="I341" s="46"/>
      <c r="J341" s="46"/>
      <c r="K341" s="46"/>
    </row>
    <row r="342" spans="1:11">
      <c r="A342" s="45"/>
      <c r="B342" s="45"/>
      <c r="C342" s="45"/>
      <c r="D342" s="46"/>
      <c r="E342" s="46"/>
      <c r="F342" s="46"/>
      <c r="G342" s="46"/>
      <c r="H342" s="46"/>
      <c r="I342" s="46"/>
      <c r="J342" s="46"/>
      <c r="K342" s="46"/>
    </row>
    <row r="343" spans="1:11">
      <c r="A343" s="45"/>
      <c r="B343" s="45"/>
      <c r="C343" s="45"/>
      <c r="D343" s="46"/>
      <c r="E343" s="46"/>
      <c r="F343" s="46"/>
      <c r="G343" s="46"/>
      <c r="H343" s="46"/>
      <c r="I343" s="46"/>
      <c r="J343" s="46"/>
      <c r="K343" s="46"/>
    </row>
    <row r="344" spans="1:11">
      <c r="A344" s="45"/>
      <c r="B344" s="45"/>
      <c r="C344" s="45"/>
      <c r="D344" s="46"/>
      <c r="E344" s="46"/>
      <c r="F344" s="46"/>
      <c r="G344" s="46"/>
      <c r="H344" s="46"/>
      <c r="I344" s="46"/>
      <c r="J344" s="46"/>
      <c r="K344" s="46"/>
    </row>
    <row r="345" spans="1:11">
      <c r="A345" s="45"/>
      <c r="B345" s="45"/>
      <c r="C345" s="45"/>
      <c r="D345" s="46"/>
      <c r="E345" s="46"/>
      <c r="F345" s="46"/>
      <c r="G345" s="46"/>
      <c r="H345" s="46"/>
      <c r="I345" s="46"/>
      <c r="J345" s="46"/>
      <c r="K345" s="46"/>
    </row>
    <row r="346" spans="1:11">
      <c r="A346" s="45"/>
      <c r="B346" s="45"/>
      <c r="C346" s="45"/>
      <c r="D346" s="46"/>
      <c r="E346" s="46"/>
      <c r="F346" s="46"/>
      <c r="G346" s="46"/>
      <c r="H346" s="46"/>
      <c r="I346" s="46"/>
      <c r="J346" s="46"/>
      <c r="K346" s="46"/>
    </row>
    <row r="347" spans="1:11">
      <c r="A347" s="45"/>
      <c r="B347" s="45"/>
      <c r="C347" s="45"/>
      <c r="D347" s="46"/>
      <c r="E347" s="46"/>
      <c r="F347" s="46"/>
      <c r="G347" s="46"/>
      <c r="H347" s="46"/>
      <c r="I347" s="46"/>
      <c r="J347" s="46"/>
      <c r="K347" s="46"/>
    </row>
    <row r="348" spans="1:11">
      <c r="A348" s="45"/>
      <c r="B348" s="45"/>
      <c r="C348" s="45"/>
      <c r="D348" s="46"/>
      <c r="E348" s="46"/>
      <c r="F348" s="46"/>
      <c r="G348" s="46"/>
      <c r="H348" s="46"/>
      <c r="I348" s="46"/>
      <c r="J348" s="46"/>
      <c r="K348" s="46"/>
    </row>
    <row r="349" spans="1:11">
      <c r="A349" s="45"/>
      <c r="B349" s="45"/>
      <c r="C349" s="45"/>
      <c r="D349" s="46"/>
      <c r="E349" s="46"/>
      <c r="F349" s="46"/>
      <c r="G349" s="46"/>
      <c r="H349" s="46"/>
      <c r="I349" s="46"/>
      <c r="J349" s="46"/>
      <c r="K349" s="46"/>
    </row>
    <row r="350" spans="1:11">
      <c r="A350" s="45"/>
      <c r="B350" s="45"/>
      <c r="C350" s="45"/>
      <c r="D350" s="46"/>
      <c r="E350" s="46"/>
      <c r="F350" s="46"/>
      <c r="G350" s="46"/>
      <c r="H350" s="46"/>
      <c r="I350" s="46"/>
      <c r="J350" s="46"/>
      <c r="K350" s="46"/>
    </row>
    <row r="351" spans="1:11">
      <c r="A351" s="45"/>
      <c r="B351" s="45"/>
      <c r="C351" s="45"/>
      <c r="D351" s="46"/>
      <c r="E351" s="46"/>
      <c r="F351" s="46"/>
      <c r="G351" s="46"/>
      <c r="H351" s="46"/>
      <c r="I351" s="46"/>
      <c r="J351" s="46"/>
      <c r="K351" s="46"/>
    </row>
    <row r="352" spans="1:11">
      <c r="A352" s="45"/>
      <c r="B352" s="45"/>
      <c r="C352" s="45"/>
      <c r="D352" s="46"/>
      <c r="E352" s="46"/>
      <c r="F352" s="46"/>
      <c r="G352" s="46"/>
      <c r="H352" s="46"/>
      <c r="I352" s="46"/>
      <c r="J352" s="46"/>
      <c r="K352" s="46"/>
    </row>
    <row r="353" spans="1:11">
      <c r="A353" s="45"/>
      <c r="B353" s="45"/>
      <c r="C353" s="45"/>
      <c r="D353" s="46"/>
      <c r="E353" s="46"/>
      <c r="F353" s="46"/>
      <c r="G353" s="46"/>
      <c r="H353" s="46"/>
      <c r="I353" s="46"/>
      <c r="J353" s="46"/>
      <c r="K353" s="46"/>
    </row>
    <row r="354" spans="1:11">
      <c r="A354" s="45"/>
      <c r="B354" s="45"/>
      <c r="C354" s="45"/>
      <c r="D354" s="46"/>
      <c r="E354" s="46"/>
      <c r="F354" s="46"/>
      <c r="G354" s="46"/>
      <c r="H354" s="46"/>
      <c r="I354" s="46"/>
      <c r="J354" s="46"/>
      <c r="K354" s="46"/>
    </row>
    <row r="355" spans="1:11">
      <c r="A355" s="45"/>
      <c r="B355" s="45"/>
      <c r="C355" s="45"/>
      <c r="D355" s="46"/>
      <c r="E355" s="46"/>
      <c r="F355" s="46"/>
      <c r="G355" s="46"/>
      <c r="H355" s="46"/>
      <c r="I355" s="46"/>
      <c r="J355" s="46"/>
      <c r="K355" s="46"/>
    </row>
    <row r="356" spans="1:11">
      <c r="A356" s="45"/>
      <c r="B356" s="45"/>
      <c r="C356" s="45"/>
      <c r="D356" s="46"/>
      <c r="E356" s="46"/>
      <c r="F356" s="46"/>
      <c r="G356" s="46"/>
      <c r="H356" s="46"/>
      <c r="I356" s="46"/>
      <c r="J356" s="46"/>
      <c r="K356" s="46"/>
    </row>
    <row r="357" spans="1:11">
      <c r="A357" s="45"/>
      <c r="B357" s="45"/>
      <c r="C357" s="45"/>
      <c r="D357" s="46"/>
      <c r="E357" s="46"/>
      <c r="F357" s="46"/>
      <c r="G357" s="46"/>
      <c r="H357" s="46"/>
      <c r="I357" s="46"/>
      <c r="J357" s="46"/>
      <c r="K357" s="46"/>
    </row>
    <row r="358" spans="1:11">
      <c r="A358" s="45"/>
      <c r="B358" s="45"/>
      <c r="C358" s="45"/>
      <c r="D358" s="46"/>
      <c r="E358" s="46"/>
      <c r="F358" s="46"/>
      <c r="G358" s="46"/>
      <c r="H358" s="46"/>
      <c r="I358" s="46"/>
      <c r="J358" s="46"/>
      <c r="K358" s="46"/>
    </row>
    <row r="359" spans="1:11">
      <c r="A359" s="45"/>
      <c r="B359" s="45"/>
      <c r="C359" s="45"/>
      <c r="D359" s="46"/>
      <c r="E359" s="46"/>
      <c r="F359" s="46"/>
      <c r="G359" s="46"/>
      <c r="H359" s="46"/>
      <c r="I359" s="46"/>
      <c r="J359" s="46"/>
      <c r="K359" s="46"/>
    </row>
    <row r="360" spans="1:11">
      <c r="A360" s="45"/>
      <c r="B360" s="45"/>
      <c r="C360" s="45"/>
      <c r="D360" s="46"/>
      <c r="E360" s="46"/>
      <c r="F360" s="46"/>
      <c r="G360" s="46"/>
      <c r="H360" s="46"/>
      <c r="I360" s="46"/>
      <c r="J360" s="46"/>
      <c r="K360" s="46"/>
    </row>
    <row r="361" spans="1:11">
      <c r="A361" s="45"/>
      <c r="B361" s="45"/>
      <c r="C361" s="45"/>
      <c r="D361" s="46"/>
      <c r="E361" s="46"/>
      <c r="F361" s="46"/>
      <c r="G361" s="46"/>
      <c r="H361" s="46"/>
      <c r="I361" s="46"/>
      <c r="J361" s="46"/>
      <c r="K361" s="46"/>
    </row>
    <row r="362" spans="1:11">
      <c r="A362" s="45"/>
      <c r="B362" s="45"/>
      <c r="C362" s="45"/>
      <c r="D362" s="46"/>
      <c r="E362" s="46"/>
      <c r="F362" s="46"/>
      <c r="G362" s="46"/>
      <c r="H362" s="46"/>
      <c r="I362" s="46"/>
      <c r="J362" s="46"/>
      <c r="K362" s="46"/>
    </row>
    <row r="363" spans="1:11">
      <c r="A363" s="45"/>
      <c r="B363" s="45"/>
      <c r="C363" s="45"/>
      <c r="D363" s="46"/>
      <c r="E363" s="46"/>
      <c r="F363" s="46"/>
      <c r="G363" s="46"/>
      <c r="H363" s="46"/>
      <c r="I363" s="46"/>
      <c r="J363" s="46"/>
      <c r="K363" s="46"/>
    </row>
    <row r="364" spans="1:11">
      <c r="A364" s="45"/>
      <c r="B364" s="45"/>
      <c r="C364" s="45"/>
      <c r="D364" s="46"/>
      <c r="E364" s="46"/>
      <c r="F364" s="46"/>
      <c r="G364" s="46"/>
      <c r="H364" s="46"/>
      <c r="I364" s="46"/>
      <c r="J364" s="46"/>
      <c r="K364" s="46"/>
    </row>
    <row r="365" spans="1:11">
      <c r="A365" s="45"/>
      <c r="B365" s="45"/>
      <c r="C365" s="45"/>
      <c r="D365" s="46"/>
      <c r="E365" s="46"/>
      <c r="F365" s="46"/>
      <c r="G365" s="46"/>
      <c r="H365" s="46"/>
      <c r="I365" s="46"/>
      <c r="J365" s="46"/>
      <c r="K365" s="46"/>
    </row>
    <row r="366" spans="1:11">
      <c r="A366" s="45"/>
      <c r="B366" s="45"/>
      <c r="C366" s="45"/>
      <c r="D366" s="46"/>
      <c r="E366" s="46"/>
      <c r="F366" s="46"/>
      <c r="G366" s="46"/>
      <c r="H366" s="46"/>
      <c r="I366" s="46"/>
      <c r="J366" s="46"/>
      <c r="K366" s="46"/>
    </row>
    <row r="367" spans="1:11">
      <c r="A367" s="45"/>
      <c r="B367" s="45"/>
      <c r="C367" s="45"/>
      <c r="D367" s="46"/>
      <c r="E367" s="46"/>
      <c r="F367" s="46"/>
      <c r="G367" s="46"/>
      <c r="H367" s="46"/>
      <c r="I367" s="46"/>
      <c r="J367" s="46"/>
      <c r="K367" s="46"/>
    </row>
    <row r="368" spans="1:11">
      <c r="A368" s="45"/>
      <c r="B368" s="45"/>
      <c r="C368" s="45"/>
      <c r="D368" s="46"/>
      <c r="E368" s="46"/>
      <c r="F368" s="46"/>
      <c r="G368" s="46"/>
      <c r="H368" s="46"/>
      <c r="I368" s="46"/>
      <c r="J368" s="46"/>
      <c r="K368" s="46"/>
    </row>
    <row r="369" spans="1:11">
      <c r="A369" s="45"/>
      <c r="B369" s="45"/>
      <c r="C369" s="45"/>
      <c r="D369" s="46"/>
      <c r="E369" s="46"/>
      <c r="F369" s="46"/>
      <c r="G369" s="46"/>
      <c r="H369" s="46"/>
      <c r="I369" s="46"/>
      <c r="J369" s="46"/>
      <c r="K369" s="46"/>
    </row>
    <row r="370" spans="1:11">
      <c r="A370" s="45"/>
      <c r="B370" s="45"/>
      <c r="C370" s="45"/>
      <c r="D370" s="46"/>
      <c r="E370" s="46"/>
      <c r="F370" s="46"/>
      <c r="G370" s="46"/>
      <c r="H370" s="46"/>
      <c r="I370" s="46"/>
      <c r="J370" s="46"/>
      <c r="K370" s="46"/>
    </row>
    <row r="371" spans="1:11">
      <c r="A371" s="45"/>
      <c r="B371" s="45"/>
      <c r="C371" s="45"/>
      <c r="D371" s="46"/>
      <c r="E371" s="46"/>
      <c r="F371" s="46"/>
      <c r="G371" s="46"/>
      <c r="H371" s="46"/>
      <c r="I371" s="46"/>
      <c r="J371" s="46"/>
      <c r="K371" s="46"/>
    </row>
    <row r="372" spans="1:11">
      <c r="A372" s="45"/>
      <c r="B372" s="45"/>
      <c r="C372" s="45"/>
      <c r="D372" s="46"/>
      <c r="E372" s="46"/>
      <c r="F372" s="46"/>
      <c r="G372" s="46"/>
      <c r="H372" s="46"/>
      <c r="I372" s="46"/>
      <c r="J372" s="46"/>
      <c r="K372" s="46"/>
    </row>
    <row r="373" spans="1:11">
      <c r="A373" s="45"/>
      <c r="B373" s="45"/>
      <c r="C373" s="45"/>
      <c r="D373" s="46"/>
      <c r="E373" s="46"/>
      <c r="F373" s="46"/>
      <c r="G373" s="46"/>
      <c r="H373" s="46"/>
      <c r="I373" s="46"/>
      <c r="J373" s="46"/>
      <c r="K373" s="46"/>
    </row>
    <row r="374" spans="1:11">
      <c r="A374" s="45"/>
      <c r="B374" s="45"/>
      <c r="C374" s="45"/>
      <c r="D374" s="46"/>
      <c r="E374" s="46"/>
      <c r="F374" s="46"/>
      <c r="G374" s="46"/>
      <c r="H374" s="46"/>
      <c r="I374" s="46"/>
      <c r="J374" s="46"/>
      <c r="K374" s="46"/>
    </row>
    <row r="375" spans="1:11">
      <c r="A375" s="45"/>
      <c r="B375" s="45"/>
      <c r="C375" s="45"/>
      <c r="D375" s="46"/>
      <c r="E375" s="46"/>
      <c r="F375" s="46"/>
      <c r="G375" s="46"/>
      <c r="H375" s="46"/>
      <c r="I375" s="46"/>
      <c r="J375" s="46"/>
      <c r="K375" s="46"/>
    </row>
    <row r="376" spans="1:11">
      <c r="A376" s="45"/>
      <c r="B376" s="45"/>
      <c r="C376" s="45"/>
      <c r="D376" s="46"/>
      <c r="E376" s="46"/>
      <c r="F376" s="46"/>
      <c r="G376" s="46"/>
      <c r="H376" s="46"/>
      <c r="I376" s="46"/>
      <c r="J376" s="46"/>
      <c r="K376" s="46"/>
    </row>
    <row r="377" spans="1:11">
      <c r="A377" s="45"/>
      <c r="B377" s="45"/>
      <c r="C377" s="45"/>
      <c r="D377" s="46"/>
      <c r="E377" s="46"/>
      <c r="F377" s="46"/>
      <c r="G377" s="46"/>
      <c r="H377" s="46"/>
      <c r="I377" s="46"/>
      <c r="J377" s="46"/>
      <c r="K377" s="46"/>
    </row>
    <row r="378" spans="1:11">
      <c r="A378" s="45"/>
      <c r="B378" s="45"/>
      <c r="C378" s="45"/>
      <c r="D378" s="46"/>
      <c r="E378" s="46"/>
      <c r="F378" s="46"/>
      <c r="G378" s="46"/>
      <c r="H378" s="46"/>
      <c r="I378" s="46"/>
      <c r="J378" s="46"/>
      <c r="K378" s="46"/>
    </row>
    <row r="379" spans="1:11">
      <c r="A379" s="45"/>
      <c r="B379" s="45"/>
      <c r="C379" s="45"/>
      <c r="D379" s="46"/>
      <c r="E379" s="46"/>
      <c r="F379" s="46"/>
      <c r="G379" s="46"/>
      <c r="H379" s="46"/>
      <c r="I379" s="46"/>
      <c r="J379" s="46"/>
      <c r="K379" s="46"/>
    </row>
    <row r="380" spans="1:11">
      <c r="A380" s="45"/>
      <c r="B380" s="45"/>
      <c r="C380" s="45"/>
      <c r="D380" s="46"/>
      <c r="E380" s="46"/>
      <c r="F380" s="46"/>
      <c r="G380" s="46"/>
      <c r="H380" s="46"/>
      <c r="I380" s="46"/>
      <c r="J380" s="46"/>
      <c r="K380" s="46"/>
    </row>
    <row r="381" spans="1:11">
      <c r="A381" s="45"/>
      <c r="B381" s="45"/>
      <c r="C381" s="45"/>
      <c r="D381" s="46"/>
      <c r="E381" s="46"/>
      <c r="F381" s="46"/>
      <c r="G381" s="46"/>
      <c r="H381" s="46"/>
      <c r="I381" s="46"/>
      <c r="J381" s="46"/>
      <c r="K381" s="46"/>
    </row>
    <row r="382" spans="1:11">
      <c r="A382" s="45"/>
      <c r="B382" s="45"/>
      <c r="C382" s="45"/>
      <c r="D382" s="46"/>
      <c r="E382" s="46"/>
      <c r="F382" s="46"/>
      <c r="G382" s="46"/>
      <c r="H382" s="46"/>
      <c r="I382" s="46"/>
      <c r="J382" s="46"/>
      <c r="K382" s="46"/>
    </row>
    <row r="383" spans="1:11">
      <c r="A383" s="45"/>
      <c r="B383" s="45"/>
      <c r="C383" s="45"/>
      <c r="D383" s="46"/>
      <c r="E383" s="46"/>
      <c r="F383" s="46"/>
      <c r="G383" s="46"/>
      <c r="H383" s="46"/>
      <c r="I383" s="46"/>
      <c r="J383" s="46"/>
      <c r="K383" s="46"/>
    </row>
    <row r="384" spans="1:11">
      <c r="A384" s="45"/>
      <c r="B384" s="45"/>
      <c r="C384" s="45"/>
      <c r="D384" s="46"/>
      <c r="E384" s="46"/>
      <c r="F384" s="46"/>
      <c r="G384" s="46"/>
      <c r="H384" s="46"/>
      <c r="I384" s="46"/>
      <c r="J384" s="46"/>
      <c r="K384" s="46"/>
    </row>
    <row r="385" spans="1:11">
      <c r="A385" s="45"/>
      <c r="B385" s="45"/>
      <c r="C385" s="45"/>
      <c r="D385" s="46"/>
      <c r="E385" s="46"/>
      <c r="F385" s="46"/>
      <c r="G385" s="46"/>
      <c r="H385" s="46"/>
      <c r="I385" s="46"/>
      <c r="J385" s="46"/>
      <c r="K385" s="46"/>
    </row>
    <row r="386" spans="1:11">
      <c r="A386" s="45"/>
      <c r="B386" s="45"/>
      <c r="C386" s="45"/>
      <c r="D386" s="46"/>
      <c r="E386" s="46"/>
      <c r="F386" s="46"/>
      <c r="G386" s="46"/>
      <c r="H386" s="46"/>
      <c r="I386" s="46"/>
      <c r="J386" s="46"/>
      <c r="K386" s="46"/>
    </row>
    <row r="387" spans="1:11">
      <c r="A387" s="45"/>
      <c r="B387" s="45"/>
      <c r="C387" s="45"/>
      <c r="D387" s="46"/>
      <c r="E387" s="46"/>
      <c r="F387" s="46"/>
      <c r="G387" s="46"/>
      <c r="H387" s="46"/>
      <c r="I387" s="46"/>
      <c r="J387" s="46"/>
      <c r="K387" s="46"/>
    </row>
    <row r="388" spans="1:11">
      <c r="A388" s="45"/>
      <c r="B388" s="45"/>
      <c r="C388" s="45"/>
      <c r="D388" s="46"/>
      <c r="E388" s="46"/>
      <c r="F388" s="46"/>
      <c r="G388" s="46"/>
      <c r="H388" s="46"/>
      <c r="I388" s="46"/>
      <c r="J388" s="46"/>
      <c r="K388" s="46"/>
    </row>
    <row r="389" spans="1:11">
      <c r="A389" s="45"/>
      <c r="B389" s="45"/>
      <c r="C389" s="45"/>
      <c r="D389" s="46"/>
      <c r="E389" s="46"/>
      <c r="F389" s="46"/>
      <c r="G389" s="46"/>
      <c r="H389" s="46"/>
      <c r="I389" s="46"/>
      <c r="J389" s="46"/>
      <c r="K389" s="46"/>
    </row>
    <row r="390" spans="1:11">
      <c r="A390" s="45"/>
      <c r="B390" s="45"/>
      <c r="C390" s="45"/>
      <c r="D390" s="46"/>
      <c r="E390" s="46"/>
      <c r="F390" s="46"/>
      <c r="G390" s="46"/>
      <c r="H390" s="46"/>
      <c r="I390" s="46"/>
      <c r="J390" s="46"/>
      <c r="K390" s="46"/>
    </row>
    <row r="391" spans="1:11">
      <c r="A391" s="45"/>
      <c r="B391" s="45"/>
      <c r="C391" s="45"/>
      <c r="D391" s="46"/>
      <c r="E391" s="46"/>
      <c r="F391" s="46"/>
      <c r="G391" s="46"/>
      <c r="H391" s="46"/>
      <c r="I391" s="46"/>
      <c r="J391" s="46"/>
      <c r="K391" s="46"/>
    </row>
    <row r="392" spans="1:11">
      <c r="A392" s="45"/>
      <c r="B392" s="45"/>
      <c r="C392" s="45"/>
      <c r="D392" s="46"/>
      <c r="E392" s="46"/>
      <c r="F392" s="46"/>
      <c r="G392" s="46"/>
      <c r="H392" s="46"/>
      <c r="I392" s="46"/>
      <c r="J392" s="46"/>
      <c r="K392" s="46"/>
    </row>
    <row r="393" spans="1:11">
      <c r="A393" s="45"/>
      <c r="B393" s="45"/>
      <c r="C393" s="45"/>
      <c r="D393" s="46"/>
      <c r="E393" s="46"/>
      <c r="F393" s="46"/>
      <c r="G393" s="46"/>
      <c r="H393" s="46"/>
      <c r="I393" s="46"/>
      <c r="J393" s="46"/>
      <c r="K393" s="46"/>
    </row>
    <row r="394" spans="1:11">
      <c r="A394" s="45"/>
      <c r="B394" s="45"/>
      <c r="C394" s="45"/>
      <c r="D394" s="46"/>
      <c r="E394" s="46"/>
      <c r="F394" s="46"/>
      <c r="G394" s="46"/>
      <c r="H394" s="46"/>
      <c r="I394" s="46"/>
      <c r="J394" s="46"/>
      <c r="K394" s="46"/>
    </row>
    <row r="395" spans="1:11">
      <c r="A395" s="45"/>
      <c r="B395" s="45"/>
      <c r="C395" s="45"/>
      <c r="D395" s="46"/>
      <c r="E395" s="46"/>
      <c r="F395" s="46"/>
      <c r="G395" s="46"/>
      <c r="H395" s="46"/>
      <c r="I395" s="46"/>
      <c r="J395" s="46"/>
      <c r="K395" s="46"/>
    </row>
    <row r="396" spans="1:11">
      <c r="A396" s="45"/>
      <c r="B396" s="45"/>
      <c r="C396" s="45"/>
      <c r="D396" s="46"/>
      <c r="E396" s="46"/>
      <c r="F396" s="46"/>
      <c r="G396" s="46"/>
      <c r="H396" s="46"/>
      <c r="I396" s="46"/>
      <c r="J396" s="46"/>
      <c r="K396" s="46"/>
    </row>
    <row r="397" spans="1:11">
      <c r="A397" s="45"/>
      <c r="B397" s="45"/>
      <c r="C397" s="45"/>
      <c r="D397" s="46"/>
      <c r="E397" s="46"/>
      <c r="F397" s="46"/>
      <c r="G397" s="46"/>
      <c r="H397" s="46"/>
      <c r="I397" s="46"/>
      <c r="J397" s="46"/>
      <c r="K397" s="46"/>
    </row>
    <row r="398" spans="1:11">
      <c r="A398" s="45"/>
      <c r="B398" s="45"/>
      <c r="C398" s="45"/>
      <c r="D398" s="46"/>
      <c r="E398" s="46"/>
      <c r="F398" s="46"/>
      <c r="G398" s="46"/>
      <c r="H398" s="46"/>
      <c r="I398" s="46"/>
      <c r="J398" s="46"/>
      <c r="K398" s="46"/>
    </row>
    <row r="399" spans="1:11">
      <c r="A399" s="45"/>
      <c r="B399" s="45"/>
      <c r="C399" s="45"/>
      <c r="D399" s="46"/>
      <c r="E399" s="46"/>
      <c r="F399" s="46"/>
      <c r="G399" s="46"/>
      <c r="H399" s="46"/>
      <c r="I399" s="46"/>
      <c r="J399" s="46"/>
      <c r="K399" s="46"/>
    </row>
    <row r="400" spans="1:11">
      <c r="A400" s="45"/>
      <c r="B400" s="45"/>
      <c r="C400" s="45"/>
      <c r="D400" s="46"/>
      <c r="E400" s="46"/>
      <c r="F400" s="46"/>
      <c r="G400" s="46"/>
      <c r="H400" s="46"/>
      <c r="I400" s="46"/>
      <c r="J400" s="46"/>
      <c r="K400" s="46"/>
    </row>
    <row r="401" spans="1:11">
      <c r="A401" s="45"/>
      <c r="B401" s="45"/>
      <c r="C401" s="45"/>
      <c r="D401" s="46"/>
      <c r="E401" s="46"/>
      <c r="F401" s="46"/>
      <c r="G401" s="46"/>
      <c r="H401" s="46"/>
      <c r="I401" s="46"/>
      <c r="J401" s="46"/>
      <c r="K401" s="46"/>
    </row>
    <row r="402" spans="1:11">
      <c r="A402" s="45"/>
      <c r="B402" s="45"/>
      <c r="C402" s="45"/>
      <c r="D402" s="46"/>
      <c r="E402" s="46"/>
      <c r="F402" s="46"/>
      <c r="G402" s="46"/>
      <c r="H402" s="46"/>
      <c r="I402" s="46"/>
      <c r="J402" s="46"/>
      <c r="K402" s="46"/>
    </row>
    <row r="403" spans="1:11">
      <c r="A403" s="45"/>
      <c r="B403" s="45"/>
      <c r="C403" s="45"/>
      <c r="D403" s="46"/>
      <c r="E403" s="46"/>
      <c r="F403" s="46"/>
      <c r="G403" s="46"/>
      <c r="H403" s="46"/>
      <c r="I403" s="46"/>
      <c r="J403" s="46"/>
      <c r="K403" s="46"/>
    </row>
    <row r="404" spans="1:11">
      <c r="A404" s="45"/>
      <c r="B404" s="45"/>
      <c r="C404" s="45"/>
      <c r="D404" s="46"/>
      <c r="E404" s="46"/>
      <c r="F404" s="46"/>
      <c r="G404" s="46"/>
      <c r="H404" s="46"/>
      <c r="I404" s="46"/>
      <c r="J404" s="46"/>
      <c r="K404" s="46"/>
    </row>
    <row r="405" spans="1:11">
      <c r="A405" s="45"/>
      <c r="B405" s="45"/>
      <c r="C405" s="45"/>
      <c r="D405" s="46"/>
      <c r="E405" s="46"/>
      <c r="F405" s="46"/>
      <c r="G405" s="46"/>
      <c r="H405" s="46"/>
      <c r="I405" s="46"/>
      <c r="J405" s="46"/>
      <c r="K405" s="46"/>
    </row>
    <row r="406" spans="1:11">
      <c r="A406" s="45"/>
      <c r="B406" s="45"/>
      <c r="C406" s="45"/>
      <c r="D406" s="46"/>
      <c r="E406" s="46"/>
      <c r="F406" s="46"/>
      <c r="G406" s="46"/>
      <c r="H406" s="46"/>
      <c r="I406" s="46"/>
      <c r="J406" s="46"/>
      <c r="K406" s="46"/>
    </row>
    <row r="407" spans="1:11">
      <c r="A407" s="45"/>
      <c r="B407" s="45"/>
      <c r="C407" s="45"/>
      <c r="D407" s="46"/>
      <c r="E407" s="46"/>
      <c r="F407" s="46"/>
      <c r="G407" s="46"/>
      <c r="H407" s="46"/>
      <c r="I407" s="46"/>
      <c r="J407" s="46"/>
      <c r="K407" s="46"/>
    </row>
    <row r="408" spans="1:11">
      <c r="A408" s="45"/>
      <c r="B408" s="45"/>
      <c r="C408" s="45"/>
      <c r="D408" s="46"/>
      <c r="E408" s="46"/>
      <c r="F408" s="46"/>
      <c r="G408" s="46"/>
      <c r="H408" s="46"/>
      <c r="I408" s="46"/>
      <c r="J408" s="46"/>
      <c r="K408" s="46"/>
    </row>
    <row r="409" spans="1:11">
      <c r="A409" s="45"/>
      <c r="B409" s="45"/>
      <c r="C409" s="45"/>
      <c r="D409" s="46"/>
      <c r="E409" s="46"/>
      <c r="F409" s="46"/>
      <c r="G409" s="46"/>
      <c r="H409" s="46"/>
      <c r="I409" s="46"/>
      <c r="J409" s="46"/>
      <c r="K409" s="46"/>
    </row>
    <row r="410" spans="1:11">
      <c r="A410" s="45"/>
      <c r="B410" s="45"/>
      <c r="C410" s="45"/>
      <c r="D410" s="46"/>
      <c r="E410" s="46"/>
      <c r="F410" s="46"/>
      <c r="G410" s="46"/>
      <c r="H410" s="46"/>
      <c r="I410" s="46"/>
      <c r="J410" s="46"/>
      <c r="K410" s="46"/>
    </row>
    <row r="411" spans="1:11">
      <c r="A411" s="45"/>
      <c r="B411" s="45"/>
      <c r="C411" s="45"/>
      <c r="D411" s="46"/>
      <c r="E411" s="46"/>
      <c r="F411" s="46"/>
      <c r="G411" s="46"/>
      <c r="H411" s="46"/>
      <c r="I411" s="46"/>
      <c r="J411" s="46"/>
      <c r="K411" s="46"/>
    </row>
    <row r="412" spans="1:11">
      <c r="A412" s="45"/>
      <c r="B412" s="45"/>
      <c r="C412" s="45"/>
      <c r="D412" s="46"/>
      <c r="E412" s="46"/>
      <c r="F412" s="46"/>
      <c r="G412" s="46"/>
      <c r="H412" s="46"/>
      <c r="I412" s="46"/>
      <c r="J412" s="46"/>
      <c r="K412" s="46"/>
    </row>
    <row r="413" spans="1:11">
      <c r="A413" s="45"/>
      <c r="B413" s="45"/>
      <c r="C413" s="45"/>
      <c r="D413" s="46"/>
      <c r="E413" s="46"/>
      <c r="F413" s="46"/>
      <c r="G413" s="46"/>
      <c r="H413" s="46"/>
      <c r="I413" s="46"/>
      <c r="J413" s="46"/>
      <c r="K413" s="46"/>
    </row>
    <row r="414" spans="1:11">
      <c r="A414" s="45"/>
      <c r="B414" s="45"/>
      <c r="C414" s="45"/>
      <c r="D414" s="46"/>
      <c r="E414" s="46"/>
      <c r="F414" s="46"/>
      <c r="G414" s="46"/>
      <c r="H414" s="46"/>
      <c r="I414" s="46"/>
      <c r="J414" s="46"/>
      <c r="K414" s="46"/>
    </row>
    <row r="415" spans="1:11">
      <c r="A415" s="45"/>
      <c r="B415" s="45"/>
      <c r="C415" s="45"/>
      <c r="D415" s="46"/>
      <c r="E415" s="46"/>
      <c r="F415" s="46"/>
      <c r="G415" s="46"/>
      <c r="H415" s="46"/>
      <c r="I415" s="46"/>
      <c r="J415" s="46"/>
      <c r="K415" s="46"/>
    </row>
    <row r="416" spans="1:11">
      <c r="A416" s="45"/>
      <c r="B416" s="45"/>
      <c r="C416" s="45"/>
      <c r="D416" s="46"/>
      <c r="E416" s="46"/>
      <c r="F416" s="46"/>
      <c r="G416" s="46"/>
      <c r="H416" s="46"/>
      <c r="I416" s="46"/>
      <c r="J416" s="46"/>
      <c r="K416" s="46"/>
    </row>
    <row r="417" spans="1:11">
      <c r="A417" s="45"/>
      <c r="B417" s="45"/>
      <c r="C417" s="45"/>
      <c r="D417" s="46"/>
      <c r="E417" s="46"/>
      <c r="F417" s="46"/>
      <c r="G417" s="46"/>
      <c r="H417" s="46"/>
      <c r="I417" s="46"/>
      <c r="J417" s="46"/>
      <c r="K417" s="46"/>
    </row>
    <row r="418" spans="1:11">
      <c r="A418" s="45"/>
      <c r="B418" s="45"/>
      <c r="C418" s="45"/>
      <c r="D418" s="46"/>
      <c r="E418" s="46"/>
      <c r="F418" s="46"/>
      <c r="G418" s="46"/>
      <c r="H418" s="46"/>
      <c r="I418" s="46"/>
      <c r="J418" s="46"/>
      <c r="K418" s="46"/>
    </row>
    <row r="419" spans="1:11">
      <c r="A419" s="45"/>
      <c r="B419" s="45"/>
      <c r="C419" s="45"/>
      <c r="D419" s="46"/>
      <c r="E419" s="46"/>
      <c r="F419" s="46"/>
      <c r="G419" s="46"/>
      <c r="H419" s="46"/>
      <c r="I419" s="46"/>
      <c r="J419" s="46"/>
      <c r="K419" s="46"/>
    </row>
    <row r="420" spans="1:11">
      <c r="A420" s="45"/>
      <c r="B420" s="45"/>
      <c r="C420" s="45"/>
      <c r="D420" s="46"/>
      <c r="E420" s="46"/>
      <c r="F420" s="46"/>
      <c r="G420" s="46"/>
      <c r="H420" s="46"/>
      <c r="I420" s="46"/>
      <c r="J420" s="46"/>
      <c r="K420" s="46"/>
    </row>
    <row r="421" spans="1:11">
      <c r="A421" s="45"/>
      <c r="B421" s="45"/>
      <c r="C421" s="45"/>
      <c r="D421" s="46"/>
      <c r="E421" s="46"/>
      <c r="F421" s="46"/>
      <c r="G421" s="46"/>
      <c r="H421" s="46"/>
      <c r="I421" s="46"/>
      <c r="J421" s="46"/>
      <c r="K421" s="46"/>
    </row>
    <row r="422" spans="1:11">
      <c r="A422" s="45"/>
      <c r="B422" s="45"/>
      <c r="C422" s="45"/>
      <c r="D422" s="46"/>
      <c r="E422" s="46"/>
      <c r="F422" s="46"/>
      <c r="G422" s="46"/>
      <c r="H422" s="46"/>
      <c r="I422" s="46"/>
      <c r="J422" s="46"/>
      <c r="K422" s="46"/>
    </row>
    <row r="423" spans="1:11">
      <c r="A423" s="45"/>
      <c r="B423" s="45"/>
      <c r="C423" s="45"/>
      <c r="D423" s="46"/>
      <c r="E423" s="46"/>
      <c r="F423" s="46"/>
      <c r="G423" s="46"/>
      <c r="H423" s="46"/>
      <c r="I423" s="46"/>
      <c r="J423" s="46"/>
      <c r="K423" s="46"/>
    </row>
    <row r="424" spans="1:11">
      <c r="A424" s="45"/>
      <c r="B424" s="45"/>
      <c r="C424" s="45"/>
      <c r="D424" s="46"/>
      <c r="E424" s="46"/>
      <c r="F424" s="46"/>
      <c r="G424" s="46"/>
      <c r="H424" s="46"/>
      <c r="I424" s="46"/>
      <c r="J424" s="46"/>
      <c r="K424" s="46"/>
    </row>
    <row r="425" spans="1:11">
      <c r="A425" s="45"/>
      <c r="B425" s="45"/>
      <c r="C425" s="45"/>
      <c r="D425" s="46"/>
      <c r="E425" s="46"/>
      <c r="F425" s="46"/>
      <c r="G425" s="46"/>
      <c r="H425" s="46"/>
      <c r="I425" s="46"/>
      <c r="J425" s="46"/>
      <c r="K425" s="46"/>
    </row>
    <row r="426" spans="1:11">
      <c r="A426" s="45"/>
      <c r="B426" s="45"/>
      <c r="C426" s="45"/>
      <c r="D426" s="46"/>
      <c r="E426" s="46"/>
      <c r="F426" s="46"/>
      <c r="G426" s="46"/>
      <c r="H426" s="46"/>
      <c r="I426" s="46"/>
      <c r="J426" s="46"/>
      <c r="K426" s="46"/>
    </row>
    <row r="427" spans="1:11">
      <c r="A427" s="45"/>
      <c r="B427" s="45"/>
      <c r="C427" s="45"/>
      <c r="D427" s="46"/>
      <c r="E427" s="46"/>
      <c r="F427" s="46"/>
      <c r="G427" s="46"/>
      <c r="H427" s="46"/>
      <c r="I427" s="46"/>
      <c r="J427" s="46"/>
      <c r="K427" s="46"/>
    </row>
    <row r="428" spans="1:11">
      <c r="A428" s="45"/>
      <c r="B428" s="45"/>
      <c r="C428" s="45"/>
      <c r="D428" s="46"/>
      <c r="E428" s="46"/>
      <c r="F428" s="46"/>
      <c r="G428" s="46"/>
      <c r="H428" s="46"/>
      <c r="I428" s="46"/>
      <c r="J428" s="46"/>
      <c r="K428" s="46"/>
    </row>
    <row r="429" spans="1:11">
      <c r="A429" s="45"/>
      <c r="B429" s="45"/>
      <c r="C429" s="45"/>
      <c r="D429" s="46"/>
      <c r="E429" s="46"/>
      <c r="F429" s="46"/>
      <c r="G429" s="46"/>
      <c r="H429" s="46"/>
      <c r="I429" s="46"/>
      <c r="J429" s="46"/>
      <c r="K429" s="46"/>
    </row>
    <row r="430" spans="1:11">
      <c r="A430" s="45"/>
      <c r="B430" s="45"/>
      <c r="C430" s="45"/>
      <c r="D430" s="46"/>
      <c r="E430" s="46"/>
      <c r="F430" s="46"/>
      <c r="G430" s="46"/>
      <c r="H430" s="46"/>
      <c r="I430" s="46"/>
      <c r="J430" s="46"/>
      <c r="K430" s="46"/>
    </row>
    <row r="431" spans="1:11">
      <c r="A431" s="45"/>
      <c r="B431" s="45"/>
      <c r="C431" s="45"/>
      <c r="D431" s="46"/>
      <c r="E431" s="46"/>
      <c r="F431" s="46"/>
      <c r="G431" s="46"/>
      <c r="H431" s="46"/>
      <c r="I431" s="46"/>
      <c r="J431" s="46"/>
      <c r="K431" s="46"/>
    </row>
    <row r="432" spans="1:11">
      <c r="A432" s="45"/>
      <c r="B432" s="45"/>
      <c r="C432" s="45"/>
      <c r="D432" s="46"/>
      <c r="E432" s="46"/>
      <c r="F432" s="46"/>
      <c r="G432" s="46"/>
      <c r="H432" s="46"/>
      <c r="I432" s="46"/>
      <c r="J432" s="46"/>
      <c r="K432" s="46"/>
    </row>
    <row r="433" spans="1:11">
      <c r="A433" s="45"/>
      <c r="B433" s="45"/>
      <c r="C433" s="45"/>
      <c r="D433" s="46"/>
      <c r="E433" s="46"/>
      <c r="F433" s="46"/>
      <c r="G433" s="46"/>
      <c r="H433" s="46"/>
      <c r="I433" s="46"/>
      <c r="J433" s="46"/>
      <c r="K433" s="46"/>
    </row>
    <row r="434" spans="1:11">
      <c r="A434" s="45"/>
      <c r="B434" s="45"/>
      <c r="C434" s="45"/>
      <c r="D434" s="46"/>
      <c r="E434" s="46"/>
      <c r="F434" s="46"/>
      <c r="G434" s="46"/>
      <c r="H434" s="46"/>
      <c r="I434" s="46"/>
      <c r="J434" s="46"/>
      <c r="K434" s="46"/>
    </row>
    <row r="435" spans="1:11">
      <c r="A435" s="45"/>
      <c r="B435" s="45"/>
      <c r="C435" s="45"/>
      <c r="D435" s="46"/>
      <c r="E435" s="46"/>
      <c r="F435" s="46"/>
      <c r="G435" s="46"/>
      <c r="H435" s="46"/>
      <c r="I435" s="46"/>
      <c r="J435" s="46"/>
      <c r="K435" s="46"/>
    </row>
    <row r="436" spans="1:11">
      <c r="A436" s="45"/>
      <c r="B436" s="45"/>
      <c r="C436" s="45"/>
      <c r="D436" s="46"/>
      <c r="E436" s="46"/>
      <c r="F436" s="46"/>
      <c r="G436" s="46"/>
      <c r="H436" s="46"/>
      <c r="I436" s="46"/>
      <c r="J436" s="46"/>
      <c r="K436" s="46"/>
    </row>
    <row r="437" spans="1:11">
      <c r="A437" s="45"/>
      <c r="B437" s="45"/>
      <c r="C437" s="45"/>
      <c r="D437" s="46"/>
      <c r="E437" s="46"/>
      <c r="F437" s="46"/>
      <c r="G437" s="46"/>
      <c r="H437" s="46"/>
      <c r="I437" s="46"/>
      <c r="J437" s="46"/>
      <c r="K437" s="46"/>
    </row>
    <row r="438" spans="1:11">
      <c r="A438" s="45"/>
      <c r="B438" s="45"/>
      <c r="C438" s="45"/>
      <c r="D438" s="46"/>
      <c r="E438" s="46"/>
      <c r="F438" s="46"/>
      <c r="G438" s="46"/>
      <c r="H438" s="46"/>
      <c r="I438" s="46"/>
      <c r="J438" s="46"/>
      <c r="K438" s="46"/>
    </row>
    <row r="439" spans="1:11">
      <c r="A439" s="45"/>
      <c r="B439" s="45"/>
      <c r="C439" s="45"/>
      <c r="D439" s="46"/>
      <c r="E439" s="46"/>
      <c r="F439" s="46"/>
      <c r="G439" s="46"/>
      <c r="H439" s="46"/>
      <c r="I439" s="46"/>
      <c r="J439" s="46"/>
      <c r="K439" s="46"/>
    </row>
    <row r="440" spans="1:11">
      <c r="A440" s="45"/>
      <c r="B440" s="45"/>
      <c r="C440" s="45"/>
      <c r="D440" s="46"/>
      <c r="E440" s="46"/>
      <c r="F440" s="46"/>
      <c r="G440" s="46"/>
      <c r="H440" s="46"/>
      <c r="I440" s="46"/>
      <c r="J440" s="46"/>
      <c r="K440" s="46"/>
    </row>
    <row r="441" spans="1:11">
      <c r="A441" s="45"/>
      <c r="B441" s="45"/>
      <c r="C441" s="45"/>
      <c r="D441" s="46"/>
      <c r="E441" s="46"/>
      <c r="F441" s="46"/>
      <c r="G441" s="46"/>
      <c r="H441" s="46"/>
      <c r="I441" s="46"/>
      <c r="J441" s="46"/>
      <c r="K441" s="46"/>
    </row>
    <row r="442" spans="1:11">
      <c r="A442" s="45"/>
      <c r="B442" s="45"/>
      <c r="C442" s="45"/>
      <c r="D442" s="46"/>
      <c r="E442" s="46"/>
      <c r="F442" s="46"/>
      <c r="G442" s="46"/>
      <c r="H442" s="46"/>
      <c r="I442" s="46"/>
      <c r="J442" s="46"/>
      <c r="K442" s="46"/>
    </row>
    <row r="443" spans="1:11">
      <c r="A443" s="45"/>
      <c r="B443" s="45"/>
      <c r="C443" s="45"/>
      <c r="D443" s="46"/>
      <c r="E443" s="46"/>
      <c r="F443" s="46"/>
      <c r="G443" s="46"/>
      <c r="H443" s="46"/>
      <c r="I443" s="46"/>
      <c r="J443" s="46"/>
      <c r="K443" s="46"/>
    </row>
    <row r="444" spans="1:11">
      <c r="A444" s="45"/>
      <c r="B444" s="45"/>
      <c r="C444" s="45"/>
      <c r="D444" s="46"/>
      <c r="E444" s="46"/>
      <c r="F444" s="46"/>
      <c r="G444" s="46"/>
      <c r="H444" s="46"/>
      <c r="I444" s="46"/>
      <c r="J444" s="46"/>
      <c r="K444" s="46"/>
    </row>
    <row r="445" spans="1:11">
      <c r="A445" s="45"/>
      <c r="B445" s="45"/>
      <c r="C445" s="45"/>
      <c r="D445" s="46"/>
      <c r="E445" s="46"/>
      <c r="F445" s="46"/>
      <c r="G445" s="46"/>
      <c r="H445" s="46"/>
      <c r="I445" s="46"/>
      <c r="J445" s="46"/>
      <c r="K445" s="46"/>
    </row>
    <row r="446" spans="1:11">
      <c r="A446" s="45"/>
      <c r="B446" s="45"/>
      <c r="C446" s="45"/>
      <c r="D446" s="46"/>
      <c r="E446" s="46"/>
      <c r="F446" s="46"/>
      <c r="G446" s="46"/>
      <c r="H446" s="46"/>
      <c r="I446" s="46"/>
      <c r="J446" s="46"/>
      <c r="K446" s="46"/>
    </row>
    <row r="447" spans="1:11">
      <c r="A447" s="45"/>
      <c r="B447" s="45"/>
      <c r="C447" s="45"/>
      <c r="D447" s="46"/>
      <c r="E447" s="46"/>
      <c r="F447" s="46"/>
      <c r="G447" s="46"/>
      <c r="H447" s="46"/>
      <c r="I447" s="46"/>
      <c r="J447" s="46"/>
      <c r="K447" s="46"/>
    </row>
    <row r="448" spans="1:11">
      <c r="A448" s="45"/>
      <c r="B448" s="45"/>
      <c r="C448" s="45"/>
      <c r="D448" s="46"/>
      <c r="E448" s="46"/>
      <c r="F448" s="46"/>
      <c r="G448" s="46"/>
      <c r="H448" s="46"/>
      <c r="I448" s="46"/>
      <c r="J448" s="46"/>
      <c r="K448" s="46"/>
    </row>
    <row r="449" spans="1:11">
      <c r="A449" s="45"/>
      <c r="B449" s="45"/>
      <c r="C449" s="45"/>
      <c r="D449" s="46"/>
      <c r="E449" s="46"/>
      <c r="F449" s="46"/>
      <c r="G449" s="46"/>
      <c r="H449" s="46"/>
      <c r="I449" s="46"/>
      <c r="J449" s="46"/>
      <c r="K449" s="46"/>
    </row>
    <row r="450" spans="1:11">
      <c r="A450" s="45"/>
      <c r="B450" s="45"/>
      <c r="C450" s="45"/>
      <c r="D450" s="46"/>
      <c r="E450" s="46"/>
      <c r="F450" s="46"/>
      <c r="G450" s="46"/>
      <c r="H450" s="46"/>
      <c r="I450" s="46"/>
      <c r="J450" s="46"/>
      <c r="K450" s="46"/>
    </row>
    <row r="451" spans="1:11">
      <c r="A451" s="45"/>
      <c r="B451" s="45"/>
      <c r="C451" s="45"/>
      <c r="D451" s="46"/>
      <c r="E451" s="46"/>
      <c r="F451" s="46"/>
      <c r="G451" s="46"/>
      <c r="H451" s="46"/>
      <c r="I451" s="46"/>
      <c r="J451" s="46"/>
      <c r="K451" s="46"/>
    </row>
    <row r="452" spans="1:11">
      <c r="A452" s="45"/>
      <c r="B452" s="45"/>
      <c r="C452" s="45"/>
      <c r="D452" s="46"/>
      <c r="E452" s="46"/>
      <c r="F452" s="46"/>
      <c r="G452" s="46"/>
      <c r="H452" s="46"/>
      <c r="I452" s="46"/>
      <c r="J452" s="46"/>
      <c r="K452" s="46"/>
    </row>
    <row r="453" spans="1:11">
      <c r="A453" s="45"/>
      <c r="B453" s="45"/>
      <c r="C453" s="45"/>
      <c r="D453" s="46"/>
      <c r="E453" s="46"/>
      <c r="F453" s="46"/>
      <c r="G453" s="46"/>
      <c r="H453" s="46"/>
      <c r="I453" s="46"/>
      <c r="J453" s="46"/>
      <c r="K453" s="46"/>
    </row>
    <row r="454" spans="1:11">
      <c r="A454" s="45"/>
      <c r="B454" s="45"/>
      <c r="C454" s="45"/>
      <c r="D454" s="46"/>
      <c r="E454" s="46"/>
      <c r="F454" s="46"/>
      <c r="G454" s="46"/>
      <c r="H454" s="46"/>
      <c r="I454" s="46"/>
      <c r="J454" s="46"/>
      <c r="K454" s="46"/>
    </row>
    <row r="455" spans="1:11">
      <c r="A455" s="45"/>
      <c r="B455" s="45"/>
      <c r="C455" s="45"/>
      <c r="D455" s="46"/>
      <c r="E455" s="46"/>
      <c r="F455" s="46"/>
      <c r="G455" s="46"/>
      <c r="H455" s="46"/>
      <c r="I455" s="46"/>
      <c r="J455" s="46"/>
      <c r="K455" s="46"/>
    </row>
    <row r="456" spans="1:11">
      <c r="A456" s="45"/>
      <c r="B456" s="45"/>
      <c r="C456" s="45"/>
      <c r="D456" s="46"/>
      <c r="E456" s="46"/>
      <c r="F456" s="46"/>
      <c r="G456" s="46"/>
      <c r="H456" s="46"/>
      <c r="I456" s="46"/>
      <c r="J456" s="46"/>
      <c r="K456" s="46"/>
    </row>
    <row r="457" spans="1:11">
      <c r="A457" s="45"/>
      <c r="B457" s="45"/>
      <c r="C457" s="45"/>
      <c r="D457" s="46"/>
      <c r="E457" s="46"/>
      <c r="F457" s="46"/>
      <c r="G457" s="46"/>
      <c r="H457" s="46"/>
      <c r="I457" s="46"/>
      <c r="J457" s="46"/>
      <c r="K457" s="46"/>
    </row>
    <row r="458" spans="1:11">
      <c r="A458" s="45"/>
      <c r="B458" s="45"/>
      <c r="C458" s="45"/>
      <c r="D458" s="46"/>
      <c r="E458" s="46"/>
      <c r="F458" s="46"/>
      <c r="G458" s="46"/>
      <c r="H458" s="46"/>
      <c r="I458" s="46"/>
      <c r="J458" s="46"/>
      <c r="K458" s="46"/>
    </row>
    <row r="459" spans="1:11">
      <c r="A459" s="45"/>
      <c r="B459" s="45"/>
      <c r="C459" s="45"/>
      <c r="D459" s="46"/>
      <c r="E459" s="46"/>
      <c r="F459" s="46"/>
      <c r="G459" s="46"/>
      <c r="H459" s="46"/>
      <c r="I459" s="46"/>
      <c r="J459" s="46"/>
      <c r="K459" s="46"/>
    </row>
    <row r="460" spans="1:11">
      <c r="A460" s="45"/>
      <c r="B460" s="45"/>
      <c r="C460" s="45"/>
      <c r="D460" s="46"/>
      <c r="E460" s="46"/>
      <c r="F460" s="46"/>
      <c r="G460" s="46"/>
      <c r="H460" s="46"/>
      <c r="I460" s="46"/>
      <c r="J460" s="46"/>
      <c r="K460" s="46"/>
    </row>
    <row r="461" spans="1:11">
      <c r="A461" s="45"/>
      <c r="B461" s="45"/>
      <c r="C461" s="45"/>
      <c r="D461" s="46"/>
      <c r="E461" s="46"/>
      <c r="F461" s="46"/>
      <c r="G461" s="46"/>
      <c r="H461" s="46"/>
      <c r="I461" s="46"/>
      <c r="J461" s="46"/>
      <c r="K461" s="46"/>
    </row>
    <row r="462" spans="1:11">
      <c r="A462" s="45"/>
      <c r="B462" s="45"/>
      <c r="C462" s="45"/>
      <c r="D462" s="46"/>
      <c r="E462" s="46"/>
      <c r="F462" s="46"/>
      <c r="G462" s="46"/>
      <c r="H462" s="46"/>
      <c r="I462" s="46"/>
      <c r="J462" s="46"/>
      <c r="K462" s="46"/>
    </row>
    <row r="463" spans="1:11">
      <c r="A463" s="45"/>
      <c r="B463" s="45"/>
      <c r="C463" s="45"/>
      <c r="D463" s="46"/>
      <c r="E463" s="46"/>
      <c r="F463" s="46"/>
      <c r="G463" s="46"/>
      <c r="H463" s="46"/>
      <c r="I463" s="46"/>
      <c r="J463" s="46"/>
      <c r="K463" s="46"/>
    </row>
    <row r="464" spans="1:11">
      <c r="A464" s="45"/>
      <c r="B464" s="45"/>
      <c r="C464" s="45"/>
      <c r="D464" s="46"/>
      <c r="E464" s="46"/>
      <c r="F464" s="46"/>
      <c r="G464" s="46"/>
      <c r="H464" s="46"/>
      <c r="I464" s="46"/>
      <c r="J464" s="46"/>
      <c r="K464" s="46"/>
    </row>
    <row r="465" spans="1:11">
      <c r="A465" s="45"/>
      <c r="B465" s="45"/>
      <c r="C465" s="45"/>
      <c r="D465" s="46"/>
      <c r="E465" s="46"/>
      <c r="F465" s="46"/>
      <c r="G465" s="46"/>
      <c r="H465" s="46"/>
      <c r="I465" s="46"/>
      <c r="J465" s="46"/>
      <c r="K465" s="46"/>
    </row>
    <row r="466" spans="1:11">
      <c r="A466" s="45"/>
      <c r="B466" s="45"/>
      <c r="C466" s="45"/>
      <c r="D466" s="46"/>
      <c r="E466" s="46"/>
      <c r="F466" s="46"/>
      <c r="G466" s="46"/>
      <c r="H466" s="46"/>
      <c r="I466" s="46"/>
      <c r="J466" s="46"/>
      <c r="K466" s="46"/>
    </row>
    <row r="467" spans="1:11">
      <c r="A467" s="45"/>
      <c r="B467" s="45"/>
      <c r="C467" s="45"/>
      <c r="D467" s="46"/>
      <c r="E467" s="46"/>
      <c r="F467" s="46"/>
      <c r="G467" s="46"/>
      <c r="H467" s="46"/>
      <c r="I467" s="46"/>
      <c r="J467" s="46"/>
      <c r="K467" s="46"/>
    </row>
    <row r="468" spans="1:11">
      <c r="A468" s="45"/>
      <c r="B468" s="45"/>
      <c r="C468" s="45"/>
      <c r="D468" s="46"/>
      <c r="E468" s="46"/>
      <c r="F468" s="46"/>
      <c r="G468" s="46"/>
      <c r="H468" s="46"/>
      <c r="I468" s="46"/>
      <c r="J468" s="46"/>
      <c r="K468" s="46"/>
    </row>
    <row r="469" spans="1:11">
      <c r="A469" s="45"/>
      <c r="B469" s="45"/>
      <c r="C469" s="45"/>
      <c r="D469" s="46"/>
      <c r="E469" s="46"/>
      <c r="F469" s="46"/>
      <c r="G469" s="46"/>
      <c r="H469" s="46"/>
      <c r="I469" s="46"/>
      <c r="J469" s="46"/>
      <c r="K469" s="46"/>
    </row>
    <row r="470" spans="1:11">
      <c r="A470" s="45"/>
      <c r="B470" s="45"/>
      <c r="C470" s="45"/>
      <c r="D470" s="46"/>
      <c r="E470" s="46"/>
      <c r="F470" s="46"/>
      <c r="G470" s="46"/>
      <c r="H470" s="46"/>
      <c r="I470" s="46"/>
      <c r="J470" s="46"/>
      <c r="K470" s="46"/>
    </row>
    <row r="471" spans="1:11">
      <c r="A471" s="45"/>
      <c r="B471" s="45"/>
      <c r="C471" s="45"/>
      <c r="D471" s="46"/>
      <c r="E471" s="46"/>
      <c r="F471" s="46"/>
      <c r="G471" s="46"/>
      <c r="H471" s="46"/>
      <c r="I471" s="46"/>
      <c r="J471" s="46"/>
      <c r="K471" s="46"/>
    </row>
    <row r="472" spans="1:11">
      <c r="A472" s="45"/>
      <c r="B472" s="45"/>
      <c r="C472" s="45"/>
      <c r="D472" s="46"/>
      <c r="E472" s="46"/>
      <c r="F472" s="46"/>
      <c r="G472" s="46"/>
      <c r="H472" s="46"/>
      <c r="I472" s="46"/>
      <c r="J472" s="46"/>
      <c r="K472" s="46"/>
    </row>
    <row r="473" spans="1:11">
      <c r="A473" s="45"/>
      <c r="B473" s="45"/>
      <c r="C473" s="45"/>
      <c r="D473" s="46"/>
      <c r="E473" s="46"/>
      <c r="F473" s="46"/>
      <c r="G473" s="46"/>
      <c r="H473" s="46"/>
      <c r="I473" s="46"/>
      <c r="J473" s="46"/>
      <c r="K473" s="46"/>
    </row>
    <row r="474" spans="1:11">
      <c r="A474" s="45"/>
      <c r="B474" s="45"/>
      <c r="C474" s="45"/>
      <c r="D474" s="46"/>
      <c r="E474" s="46"/>
      <c r="F474" s="46"/>
      <c r="G474" s="46"/>
      <c r="H474" s="46"/>
      <c r="I474" s="46"/>
      <c r="J474" s="46"/>
      <c r="K474" s="46"/>
    </row>
    <row r="475" spans="1:11">
      <c r="A475" s="45"/>
      <c r="B475" s="45"/>
      <c r="C475" s="45"/>
      <c r="D475" s="46"/>
      <c r="E475" s="46"/>
      <c r="F475" s="46"/>
      <c r="G475" s="46"/>
      <c r="H475" s="46"/>
      <c r="I475" s="46"/>
      <c r="J475" s="46"/>
      <c r="K475" s="46"/>
    </row>
    <row r="476" spans="1:11">
      <c r="A476" s="45"/>
      <c r="B476" s="45"/>
      <c r="C476" s="45"/>
      <c r="D476" s="46"/>
      <c r="E476" s="46"/>
      <c r="F476" s="46"/>
      <c r="G476" s="46"/>
      <c r="H476" s="46"/>
      <c r="I476" s="46"/>
      <c r="J476" s="46"/>
      <c r="K476" s="46"/>
    </row>
    <row r="477" spans="1:11">
      <c r="A477" s="45"/>
      <c r="B477" s="45"/>
      <c r="C477" s="45"/>
      <c r="D477" s="46"/>
      <c r="E477" s="46"/>
      <c r="F477" s="46"/>
      <c r="G477" s="46"/>
      <c r="H477" s="46"/>
      <c r="I477" s="46"/>
      <c r="J477" s="46"/>
      <c r="K477" s="46"/>
    </row>
    <row r="478" spans="1:11">
      <c r="A478" s="45"/>
      <c r="B478" s="45"/>
      <c r="C478" s="45"/>
      <c r="D478" s="46"/>
      <c r="E478" s="46"/>
      <c r="F478" s="46"/>
      <c r="G478" s="46"/>
      <c r="H478" s="46"/>
      <c r="I478" s="46"/>
      <c r="J478" s="46"/>
      <c r="K478" s="46"/>
    </row>
    <row r="479" spans="1:11">
      <c r="A479" s="45"/>
      <c r="B479" s="45"/>
      <c r="C479" s="45"/>
      <c r="D479" s="46"/>
      <c r="E479" s="46"/>
      <c r="F479" s="46"/>
      <c r="G479" s="46"/>
      <c r="H479" s="46"/>
      <c r="I479" s="46"/>
      <c r="J479" s="46"/>
      <c r="K479" s="46"/>
    </row>
    <row r="480" spans="1:11">
      <c r="A480" s="45"/>
      <c r="B480" s="45"/>
      <c r="C480" s="45"/>
      <c r="D480" s="46"/>
      <c r="E480" s="46"/>
      <c r="F480" s="46"/>
      <c r="G480" s="46"/>
      <c r="H480" s="46"/>
      <c r="I480" s="46"/>
      <c r="J480" s="46"/>
      <c r="K480" s="46"/>
    </row>
    <row r="481" spans="1:11">
      <c r="A481" s="45"/>
      <c r="B481" s="45"/>
      <c r="C481" s="45"/>
      <c r="D481" s="46"/>
      <c r="E481" s="46"/>
      <c r="F481" s="46"/>
      <c r="G481" s="46"/>
      <c r="H481" s="46"/>
      <c r="I481" s="46"/>
      <c r="J481" s="46"/>
      <c r="K481" s="46"/>
    </row>
    <row r="482" spans="1:11">
      <c r="A482" s="45"/>
      <c r="B482" s="45"/>
      <c r="C482" s="45"/>
      <c r="D482" s="46"/>
      <c r="E482" s="46"/>
      <c r="F482" s="46"/>
      <c r="G482" s="46"/>
      <c r="H482" s="46"/>
      <c r="I482" s="46"/>
      <c r="J482" s="46"/>
      <c r="K482" s="46"/>
    </row>
    <row r="483" spans="1:11">
      <c r="A483" s="45"/>
      <c r="B483" s="45"/>
      <c r="C483" s="45"/>
      <c r="D483" s="46"/>
      <c r="E483" s="46"/>
      <c r="F483" s="46"/>
      <c r="G483" s="46"/>
      <c r="H483" s="46"/>
      <c r="I483" s="46"/>
      <c r="J483" s="46"/>
      <c r="K483" s="46"/>
    </row>
    <row r="484" spans="1:11">
      <c r="A484" s="45"/>
      <c r="B484" s="45"/>
      <c r="C484" s="45"/>
      <c r="D484" s="46"/>
      <c r="E484" s="46"/>
      <c r="F484" s="46"/>
      <c r="G484" s="46"/>
      <c r="H484" s="46"/>
      <c r="I484" s="46"/>
      <c r="J484" s="46"/>
      <c r="K484" s="46"/>
    </row>
    <row r="485" spans="1:11">
      <c r="A485" s="45"/>
      <c r="B485" s="45"/>
      <c r="C485" s="45"/>
      <c r="D485" s="46"/>
      <c r="E485" s="46"/>
      <c r="F485" s="46"/>
      <c r="G485" s="46"/>
      <c r="H485" s="46"/>
      <c r="I485" s="46"/>
      <c r="J485" s="46"/>
      <c r="K485" s="46"/>
    </row>
    <row r="486" spans="1:11">
      <c r="A486" s="45"/>
      <c r="B486" s="45"/>
      <c r="C486" s="45"/>
      <c r="D486" s="46"/>
      <c r="E486" s="46"/>
      <c r="F486" s="46"/>
      <c r="G486" s="46"/>
      <c r="H486" s="46"/>
      <c r="I486" s="46"/>
      <c r="J486" s="46"/>
      <c r="K486" s="46"/>
    </row>
    <row r="487" spans="1:11">
      <c r="A487" s="45"/>
      <c r="B487" s="45"/>
      <c r="C487" s="45"/>
      <c r="D487" s="46"/>
      <c r="E487" s="46"/>
      <c r="F487" s="46"/>
      <c r="G487" s="46"/>
      <c r="H487" s="46"/>
      <c r="I487" s="46"/>
      <c r="J487" s="46"/>
      <c r="K487" s="46"/>
    </row>
    <row r="488" spans="1:11">
      <c r="A488" s="45"/>
      <c r="B488" s="45"/>
      <c r="C488" s="45"/>
      <c r="D488" s="46"/>
      <c r="E488" s="46"/>
      <c r="F488" s="46"/>
      <c r="G488" s="46"/>
      <c r="H488" s="46"/>
      <c r="I488" s="46"/>
      <c r="J488" s="46"/>
      <c r="K488" s="46"/>
    </row>
    <row r="489" spans="1:11">
      <c r="A489" s="45"/>
      <c r="B489" s="45"/>
      <c r="C489" s="45"/>
      <c r="D489" s="46"/>
      <c r="E489" s="46"/>
      <c r="F489" s="46"/>
      <c r="G489" s="46"/>
      <c r="H489" s="46"/>
      <c r="I489" s="46"/>
      <c r="J489" s="46"/>
      <c r="K489" s="46"/>
    </row>
    <row r="490" spans="1:11">
      <c r="A490" s="45"/>
      <c r="B490" s="45"/>
      <c r="C490" s="45"/>
      <c r="D490" s="46"/>
      <c r="E490" s="46"/>
      <c r="F490" s="46"/>
      <c r="G490" s="46"/>
      <c r="H490" s="46"/>
      <c r="I490" s="46"/>
      <c r="J490" s="46"/>
      <c r="K490" s="46"/>
    </row>
    <row r="491" spans="1:11">
      <c r="A491" s="45"/>
      <c r="B491" s="45"/>
      <c r="C491" s="45"/>
      <c r="D491" s="46"/>
      <c r="E491" s="46"/>
      <c r="F491" s="46"/>
      <c r="G491" s="46"/>
      <c r="H491" s="46"/>
      <c r="I491" s="46"/>
      <c r="J491" s="46"/>
      <c r="K491" s="46"/>
    </row>
    <row r="492" spans="1:11">
      <c r="A492" s="45"/>
      <c r="B492" s="45"/>
      <c r="C492" s="45"/>
      <c r="D492" s="46"/>
      <c r="E492" s="46"/>
      <c r="F492" s="46"/>
      <c r="G492" s="46"/>
      <c r="H492" s="46"/>
      <c r="I492" s="46"/>
      <c r="J492" s="46"/>
      <c r="K492" s="46"/>
    </row>
    <row r="493" spans="1:11">
      <c r="A493" s="45"/>
      <c r="B493" s="45"/>
      <c r="C493" s="45"/>
      <c r="D493" s="46"/>
      <c r="E493" s="46"/>
      <c r="F493" s="46"/>
      <c r="G493" s="46"/>
      <c r="H493" s="46"/>
      <c r="I493" s="46"/>
      <c r="J493" s="46"/>
      <c r="K493" s="46"/>
    </row>
    <row r="494" spans="1:11">
      <c r="A494" s="45"/>
      <c r="B494" s="45"/>
      <c r="C494" s="45"/>
      <c r="D494" s="46"/>
      <c r="E494" s="46"/>
      <c r="F494" s="46"/>
      <c r="G494" s="46"/>
      <c r="H494" s="46"/>
      <c r="I494" s="46"/>
      <c r="J494" s="46"/>
      <c r="K494" s="46"/>
    </row>
    <row r="495" spans="1:11">
      <c r="A495" s="45"/>
      <c r="B495" s="45"/>
      <c r="C495" s="45"/>
      <c r="D495" s="46"/>
      <c r="E495" s="46"/>
      <c r="F495" s="46"/>
      <c r="G495" s="46"/>
      <c r="H495" s="46"/>
      <c r="I495" s="46"/>
      <c r="J495" s="46"/>
      <c r="K495" s="46"/>
    </row>
    <row r="496" spans="1:11">
      <c r="A496" s="45"/>
      <c r="B496" s="45"/>
      <c r="C496" s="45"/>
      <c r="D496" s="46"/>
      <c r="E496" s="46"/>
      <c r="F496" s="46"/>
      <c r="G496" s="46"/>
      <c r="H496" s="46"/>
      <c r="I496" s="46"/>
      <c r="J496" s="46"/>
      <c r="K496" s="46"/>
    </row>
    <row r="497" spans="1:11">
      <c r="A497" s="45"/>
      <c r="B497" s="45"/>
      <c r="C497" s="45"/>
      <c r="D497" s="46"/>
      <c r="E497" s="46"/>
      <c r="F497" s="46"/>
      <c r="G497" s="46"/>
      <c r="H497" s="46"/>
      <c r="I497" s="46"/>
      <c r="J497" s="46"/>
      <c r="K497" s="46"/>
    </row>
    <row r="498" spans="1:11">
      <c r="A498" s="45"/>
      <c r="B498" s="45"/>
      <c r="C498" s="45"/>
      <c r="D498" s="46"/>
      <c r="E498" s="46"/>
      <c r="F498" s="46"/>
      <c r="G498" s="46"/>
      <c r="H498" s="46"/>
      <c r="I498" s="46"/>
      <c r="J498" s="46"/>
      <c r="K498" s="46"/>
    </row>
    <row r="499" spans="1:11">
      <c r="A499" s="45"/>
      <c r="B499" s="45"/>
      <c r="C499" s="45"/>
      <c r="D499" s="46"/>
      <c r="E499" s="46"/>
      <c r="F499" s="46"/>
      <c r="G499" s="46"/>
      <c r="H499" s="46"/>
      <c r="I499" s="46"/>
      <c r="J499" s="46"/>
      <c r="K499" s="46"/>
    </row>
    <row r="500" spans="1:11">
      <c r="A500" s="45"/>
      <c r="B500" s="45"/>
      <c r="C500" s="45"/>
      <c r="D500" s="46"/>
      <c r="E500" s="46"/>
      <c r="F500" s="46"/>
      <c r="G500" s="46"/>
      <c r="H500" s="46"/>
      <c r="I500" s="46"/>
      <c r="J500" s="46"/>
      <c r="K500" s="46"/>
    </row>
    <row r="501" spans="1:11">
      <c r="A501" s="45"/>
      <c r="B501" s="45"/>
      <c r="C501" s="45"/>
      <c r="D501" s="46"/>
      <c r="E501" s="46"/>
      <c r="F501" s="46"/>
      <c r="G501" s="46"/>
      <c r="H501" s="46"/>
      <c r="I501" s="46"/>
      <c r="J501" s="46"/>
      <c r="K501" s="46"/>
    </row>
    <row r="502" spans="1:11">
      <c r="A502" s="45"/>
      <c r="B502" s="45"/>
      <c r="C502" s="45"/>
      <c r="D502" s="46"/>
      <c r="E502" s="46"/>
      <c r="F502" s="46"/>
      <c r="G502" s="46"/>
      <c r="H502" s="46"/>
      <c r="I502" s="46"/>
      <c r="J502" s="46"/>
      <c r="K502" s="46"/>
    </row>
    <row r="503" spans="1:11">
      <c r="A503" s="45"/>
      <c r="B503" s="45"/>
      <c r="C503" s="45"/>
      <c r="D503" s="46"/>
      <c r="E503" s="46"/>
      <c r="F503" s="46"/>
      <c r="G503" s="46"/>
      <c r="H503" s="46"/>
      <c r="I503" s="46"/>
      <c r="J503" s="46"/>
      <c r="K503" s="46"/>
    </row>
    <row r="504" spans="1:11">
      <c r="A504" s="45"/>
      <c r="B504" s="45"/>
      <c r="C504" s="45"/>
      <c r="D504" s="46"/>
      <c r="E504" s="46"/>
      <c r="F504" s="46"/>
      <c r="G504" s="46"/>
      <c r="H504" s="46"/>
      <c r="I504" s="46"/>
      <c r="J504" s="46"/>
      <c r="K504" s="46"/>
    </row>
    <row r="505" spans="1:11">
      <c r="A505" s="45"/>
      <c r="B505" s="45"/>
      <c r="C505" s="45"/>
      <c r="D505" s="46"/>
      <c r="E505" s="46"/>
      <c r="F505" s="46"/>
      <c r="G505" s="46"/>
      <c r="H505" s="46"/>
      <c r="I505" s="46"/>
      <c r="J505" s="46"/>
      <c r="K505" s="46"/>
    </row>
    <row r="506" spans="1:11">
      <c r="A506" s="45"/>
      <c r="B506" s="45"/>
      <c r="C506" s="45"/>
      <c r="D506" s="46"/>
      <c r="E506" s="46"/>
      <c r="F506" s="46"/>
      <c r="G506" s="46"/>
      <c r="H506" s="46"/>
      <c r="I506" s="46"/>
      <c r="J506" s="46"/>
      <c r="K506" s="46"/>
    </row>
    <row r="507" spans="1:11">
      <c r="A507" s="45"/>
      <c r="B507" s="45"/>
      <c r="C507" s="45"/>
      <c r="D507" s="46"/>
      <c r="E507" s="46"/>
      <c r="F507" s="46"/>
      <c r="G507" s="46"/>
      <c r="H507" s="46"/>
      <c r="I507" s="46"/>
      <c r="J507" s="46"/>
      <c r="K507" s="46"/>
    </row>
    <row r="508" spans="1:11">
      <c r="A508" s="45"/>
      <c r="B508" s="45"/>
      <c r="C508" s="45"/>
      <c r="D508" s="46"/>
      <c r="E508" s="46"/>
      <c r="F508" s="46"/>
      <c r="G508" s="46"/>
      <c r="H508" s="46"/>
      <c r="I508" s="46"/>
      <c r="J508" s="46"/>
      <c r="K508" s="46"/>
    </row>
    <row r="509" spans="1:11">
      <c r="A509" s="45"/>
      <c r="B509" s="45"/>
      <c r="C509" s="45"/>
      <c r="D509" s="46"/>
      <c r="E509" s="46"/>
      <c r="F509" s="46"/>
      <c r="G509" s="46"/>
      <c r="H509" s="46"/>
      <c r="I509" s="46"/>
      <c r="J509" s="46"/>
      <c r="K509" s="46"/>
    </row>
    <row r="510" spans="1:11">
      <c r="A510" s="45"/>
      <c r="B510" s="45"/>
      <c r="C510" s="45"/>
      <c r="D510" s="46"/>
      <c r="E510" s="46"/>
      <c r="F510" s="46"/>
      <c r="G510" s="46"/>
      <c r="H510" s="46"/>
      <c r="I510" s="46"/>
      <c r="J510" s="46"/>
      <c r="K510" s="46"/>
    </row>
    <row r="511" spans="1:11">
      <c r="A511" s="45"/>
      <c r="B511" s="45"/>
      <c r="C511" s="45"/>
      <c r="D511" s="46"/>
      <c r="E511" s="46"/>
      <c r="F511" s="46"/>
      <c r="G511" s="46"/>
      <c r="H511" s="46"/>
      <c r="I511" s="46"/>
      <c r="J511" s="46"/>
      <c r="K511" s="46"/>
    </row>
    <row r="512" spans="1:11">
      <c r="A512" s="45"/>
      <c r="B512" s="45"/>
      <c r="C512" s="45"/>
      <c r="D512" s="46"/>
      <c r="E512" s="46"/>
      <c r="F512" s="46"/>
      <c r="G512" s="46"/>
      <c r="H512" s="46"/>
      <c r="I512" s="46"/>
      <c r="J512" s="46"/>
      <c r="K512" s="46"/>
    </row>
    <row r="513" spans="1:11">
      <c r="A513" s="45"/>
      <c r="B513" s="45"/>
      <c r="C513" s="45"/>
      <c r="D513" s="46"/>
      <c r="E513" s="46"/>
      <c r="F513" s="46"/>
      <c r="G513" s="46"/>
      <c r="H513" s="46"/>
      <c r="I513" s="46"/>
      <c r="J513" s="46"/>
      <c r="K513" s="46"/>
    </row>
    <row r="514" spans="1:11">
      <c r="A514" s="45"/>
      <c r="B514" s="45"/>
      <c r="C514" s="45"/>
      <c r="D514" s="46"/>
      <c r="E514" s="46"/>
      <c r="F514" s="46"/>
      <c r="G514" s="46"/>
      <c r="H514" s="46"/>
      <c r="I514" s="46"/>
      <c r="J514" s="46"/>
      <c r="K514" s="46"/>
    </row>
    <row r="515" spans="1:11">
      <c r="A515" s="45"/>
      <c r="B515" s="45"/>
      <c r="C515" s="45"/>
      <c r="D515" s="46"/>
      <c r="E515" s="46"/>
      <c r="F515" s="46"/>
      <c r="G515" s="46"/>
      <c r="H515" s="46"/>
      <c r="I515" s="46"/>
      <c r="J515" s="46"/>
      <c r="K515" s="46"/>
    </row>
    <row r="516" spans="1:11">
      <c r="A516" s="45"/>
      <c r="B516" s="45"/>
      <c r="C516" s="45"/>
      <c r="D516" s="46"/>
      <c r="E516" s="46"/>
      <c r="F516" s="46"/>
      <c r="G516" s="46"/>
      <c r="H516" s="46"/>
      <c r="I516" s="46"/>
      <c r="J516" s="46"/>
      <c r="K516" s="46"/>
    </row>
    <row r="517" spans="1:11">
      <c r="A517" s="45"/>
      <c r="B517" s="45"/>
      <c r="C517" s="45"/>
      <c r="D517" s="46"/>
      <c r="E517" s="46"/>
      <c r="F517" s="46"/>
      <c r="G517" s="46"/>
      <c r="H517" s="46"/>
      <c r="I517" s="46"/>
      <c r="J517" s="46"/>
      <c r="K517" s="46"/>
    </row>
    <row r="518" spans="1:11">
      <c r="A518" s="45"/>
      <c r="B518" s="45"/>
      <c r="C518" s="45"/>
      <c r="D518" s="46"/>
      <c r="E518" s="46"/>
      <c r="F518" s="46"/>
      <c r="G518" s="46"/>
      <c r="H518" s="46"/>
      <c r="I518" s="46"/>
      <c r="J518" s="46"/>
      <c r="K518" s="46"/>
    </row>
    <row r="519" spans="1:11">
      <c r="A519" s="45"/>
      <c r="B519" s="45"/>
      <c r="C519" s="45"/>
      <c r="D519" s="46"/>
      <c r="E519" s="46"/>
      <c r="F519" s="46"/>
      <c r="G519" s="46"/>
      <c r="H519" s="46"/>
      <c r="I519" s="46"/>
      <c r="J519" s="46"/>
      <c r="K519" s="46"/>
    </row>
    <row r="520" spans="1:11">
      <c r="A520" s="45"/>
      <c r="B520" s="45"/>
      <c r="C520" s="45"/>
      <c r="D520" s="46"/>
      <c r="E520" s="46"/>
      <c r="F520" s="46"/>
      <c r="G520" s="46"/>
      <c r="H520" s="46"/>
      <c r="I520" s="46"/>
      <c r="J520" s="46"/>
      <c r="K520" s="46"/>
    </row>
    <row r="521" spans="1:11">
      <c r="A521" s="45"/>
      <c r="B521" s="45"/>
      <c r="C521" s="45"/>
      <c r="D521" s="46"/>
      <c r="E521" s="46"/>
      <c r="F521" s="46"/>
      <c r="G521" s="46"/>
      <c r="H521" s="46"/>
      <c r="I521" s="46"/>
      <c r="J521" s="46"/>
      <c r="K521" s="46"/>
    </row>
    <row r="522" spans="1:11">
      <c r="A522" s="45"/>
      <c r="B522" s="45"/>
      <c r="C522" s="45"/>
      <c r="D522" s="46"/>
      <c r="E522" s="46"/>
      <c r="F522" s="46"/>
      <c r="G522" s="46"/>
      <c r="H522" s="46"/>
      <c r="I522" s="46"/>
      <c r="J522" s="46"/>
      <c r="K522" s="46"/>
    </row>
    <row r="523" spans="1:11">
      <c r="A523" s="45"/>
      <c r="B523" s="45"/>
      <c r="C523" s="45"/>
      <c r="D523" s="46"/>
      <c r="E523" s="46"/>
      <c r="F523" s="46"/>
      <c r="G523" s="46"/>
      <c r="H523" s="46"/>
      <c r="I523" s="46"/>
      <c r="J523" s="46"/>
      <c r="K523" s="46"/>
    </row>
    <row r="524" spans="1:11">
      <c r="A524" s="45"/>
      <c r="B524" s="45"/>
      <c r="C524" s="45"/>
      <c r="D524" s="46"/>
      <c r="E524" s="46"/>
      <c r="F524" s="46"/>
      <c r="G524" s="46"/>
      <c r="H524" s="46"/>
      <c r="I524" s="46"/>
      <c r="J524" s="46"/>
      <c r="K524" s="46"/>
    </row>
    <row r="525" spans="1:11">
      <c r="A525" s="45"/>
      <c r="B525" s="45"/>
      <c r="C525" s="45"/>
      <c r="D525" s="46"/>
      <c r="E525" s="46"/>
      <c r="F525" s="46"/>
      <c r="G525" s="46"/>
      <c r="H525" s="46"/>
      <c r="I525" s="46"/>
      <c r="J525" s="46"/>
      <c r="K525" s="46"/>
    </row>
    <row r="526" spans="1:11">
      <c r="A526" s="45"/>
      <c r="B526" s="45"/>
      <c r="C526" s="45"/>
      <c r="D526" s="46"/>
      <c r="E526" s="46"/>
      <c r="F526" s="46"/>
      <c r="G526" s="46"/>
      <c r="H526" s="46"/>
      <c r="I526" s="46"/>
      <c r="J526" s="46"/>
      <c r="K526" s="46"/>
    </row>
    <row r="527" spans="1:11">
      <c r="A527" s="45"/>
      <c r="B527" s="45"/>
      <c r="C527" s="45"/>
      <c r="D527" s="46"/>
      <c r="E527" s="46"/>
      <c r="F527" s="46"/>
      <c r="G527" s="46"/>
      <c r="H527" s="46"/>
      <c r="I527" s="46"/>
      <c r="J527" s="46"/>
      <c r="K527" s="46"/>
    </row>
    <row r="528" spans="1:11">
      <c r="A528" s="45"/>
      <c r="B528" s="45"/>
      <c r="C528" s="45"/>
      <c r="D528" s="46"/>
      <c r="E528" s="46"/>
      <c r="F528" s="46"/>
      <c r="G528" s="46"/>
      <c r="H528" s="46"/>
      <c r="I528" s="46"/>
      <c r="J528" s="46"/>
      <c r="K528" s="46"/>
    </row>
    <row r="529" spans="1:11">
      <c r="A529" s="45"/>
      <c r="B529" s="45"/>
      <c r="C529" s="45"/>
      <c r="D529" s="46"/>
      <c r="E529" s="46"/>
      <c r="F529" s="46"/>
      <c r="G529" s="46"/>
      <c r="H529" s="46"/>
      <c r="I529" s="46"/>
      <c r="J529" s="46"/>
      <c r="K529" s="46"/>
    </row>
    <row r="530" spans="1:11">
      <c r="A530" s="45"/>
      <c r="B530" s="45"/>
      <c r="C530" s="45"/>
      <c r="D530" s="46"/>
      <c r="E530" s="46"/>
      <c r="F530" s="46"/>
      <c r="G530" s="46"/>
      <c r="H530" s="46"/>
      <c r="I530" s="46"/>
      <c r="J530" s="46"/>
      <c r="K530" s="46"/>
    </row>
    <row r="531" spans="1:11">
      <c r="A531" s="45"/>
      <c r="B531" s="45"/>
      <c r="C531" s="45"/>
      <c r="D531" s="46"/>
      <c r="E531" s="46"/>
      <c r="F531" s="46"/>
      <c r="G531" s="46"/>
      <c r="H531" s="46"/>
      <c r="I531" s="46"/>
      <c r="J531" s="46"/>
      <c r="K531" s="46"/>
    </row>
    <row r="532" spans="1:11">
      <c r="A532" s="45"/>
      <c r="B532" s="45"/>
      <c r="C532" s="45"/>
      <c r="D532" s="46"/>
      <c r="E532" s="46"/>
      <c r="F532" s="46"/>
      <c r="G532" s="46"/>
      <c r="H532" s="46"/>
      <c r="I532" s="46"/>
      <c r="J532" s="46"/>
      <c r="K532" s="46"/>
    </row>
    <row r="533" spans="1:11">
      <c r="A533" s="45"/>
      <c r="B533" s="45"/>
      <c r="C533" s="45"/>
      <c r="D533" s="46"/>
      <c r="E533" s="46"/>
      <c r="F533" s="46"/>
      <c r="G533" s="46"/>
      <c r="H533" s="46"/>
      <c r="I533" s="46"/>
      <c r="J533" s="46"/>
      <c r="K533" s="46"/>
    </row>
    <row r="534" spans="1:11">
      <c r="A534" s="45"/>
      <c r="B534" s="45"/>
      <c r="C534" s="45"/>
      <c r="D534" s="46"/>
      <c r="E534" s="46"/>
      <c r="F534" s="46"/>
      <c r="G534" s="46"/>
      <c r="H534" s="46"/>
      <c r="I534" s="46"/>
      <c r="J534" s="46"/>
      <c r="K534" s="46"/>
    </row>
    <row r="535" spans="1:11">
      <c r="A535" s="45"/>
      <c r="B535" s="45"/>
      <c r="C535" s="45"/>
      <c r="D535" s="46"/>
      <c r="E535" s="46"/>
      <c r="F535" s="46"/>
      <c r="G535" s="46"/>
      <c r="H535" s="46"/>
      <c r="I535" s="46"/>
      <c r="J535" s="46"/>
      <c r="K535" s="46"/>
    </row>
    <row r="536" spans="1:11">
      <c r="A536" s="45"/>
      <c r="B536" s="45"/>
      <c r="C536" s="45"/>
      <c r="D536" s="46"/>
      <c r="E536" s="46"/>
      <c r="F536" s="46"/>
      <c r="G536" s="46"/>
      <c r="H536" s="46"/>
      <c r="I536" s="46"/>
      <c r="J536" s="46"/>
      <c r="K536" s="46"/>
    </row>
    <row r="537" spans="1:11">
      <c r="A537" s="45"/>
      <c r="B537" s="45"/>
      <c r="C537" s="45"/>
      <c r="D537" s="46"/>
      <c r="E537" s="46"/>
      <c r="F537" s="46"/>
      <c r="G537" s="46"/>
      <c r="H537" s="46"/>
      <c r="I537" s="46"/>
      <c r="J537" s="46"/>
      <c r="K537" s="46"/>
    </row>
    <row r="538" spans="1:11">
      <c r="A538" s="45"/>
      <c r="B538" s="45"/>
      <c r="C538" s="45"/>
      <c r="D538" s="46"/>
      <c r="E538" s="46"/>
      <c r="F538" s="46"/>
      <c r="G538" s="46"/>
      <c r="H538" s="46"/>
      <c r="I538" s="46"/>
      <c r="J538" s="46"/>
      <c r="K538" s="46"/>
    </row>
    <row r="539" spans="1:11">
      <c r="A539" s="45"/>
      <c r="B539" s="45"/>
      <c r="C539" s="45"/>
      <c r="D539" s="46"/>
      <c r="E539" s="46"/>
      <c r="F539" s="46"/>
      <c r="G539" s="46"/>
      <c r="H539" s="46"/>
      <c r="I539" s="46"/>
      <c r="J539" s="46"/>
      <c r="K539" s="46"/>
    </row>
    <row r="540" spans="1:11">
      <c r="A540" s="45"/>
      <c r="B540" s="45"/>
      <c r="C540" s="45"/>
      <c r="D540" s="46"/>
      <c r="E540" s="46"/>
      <c r="F540" s="46"/>
      <c r="G540" s="46"/>
      <c r="H540" s="46"/>
      <c r="I540" s="46"/>
      <c r="J540" s="46"/>
      <c r="K540" s="46"/>
    </row>
    <row r="541" spans="1:11">
      <c r="A541" s="45"/>
      <c r="B541" s="45"/>
      <c r="C541" s="45"/>
      <c r="D541" s="46"/>
      <c r="E541" s="46"/>
      <c r="F541" s="46"/>
      <c r="G541" s="46"/>
      <c r="H541" s="46"/>
      <c r="I541" s="46"/>
      <c r="J541" s="46"/>
      <c r="K541" s="46"/>
    </row>
    <row r="542" spans="1:11">
      <c r="A542" s="45"/>
      <c r="B542" s="45"/>
      <c r="C542" s="45"/>
      <c r="D542" s="46"/>
      <c r="E542" s="46"/>
      <c r="F542" s="46"/>
      <c r="G542" s="46"/>
      <c r="H542" s="46"/>
      <c r="I542" s="46"/>
      <c r="J542" s="46"/>
      <c r="K542" s="46"/>
    </row>
    <row r="543" spans="1:11">
      <c r="A543" s="45"/>
      <c r="B543" s="45"/>
      <c r="C543" s="45"/>
      <c r="D543" s="46"/>
      <c r="E543" s="46"/>
      <c r="F543" s="46"/>
      <c r="G543" s="46"/>
      <c r="H543" s="46"/>
      <c r="I543" s="46"/>
      <c r="J543" s="46"/>
      <c r="K543" s="46"/>
    </row>
    <row r="544" spans="1:11">
      <c r="A544" s="45"/>
      <c r="B544" s="45"/>
      <c r="C544" s="45"/>
      <c r="D544" s="46"/>
      <c r="E544" s="46"/>
      <c r="F544" s="46"/>
      <c r="G544" s="46"/>
      <c r="H544" s="46"/>
      <c r="I544" s="46"/>
      <c r="J544" s="46"/>
      <c r="K544" s="46"/>
    </row>
    <row r="545" spans="1:11">
      <c r="A545" s="45"/>
      <c r="B545" s="45"/>
      <c r="C545" s="45"/>
      <c r="D545" s="46"/>
      <c r="E545" s="46"/>
      <c r="F545" s="46"/>
      <c r="G545" s="46"/>
      <c r="H545" s="46"/>
      <c r="I545" s="46"/>
      <c r="J545" s="46"/>
      <c r="K545" s="46"/>
    </row>
    <row r="546" spans="1:11">
      <c r="A546" s="45"/>
      <c r="B546" s="45"/>
      <c r="C546" s="45"/>
      <c r="D546" s="46"/>
      <c r="E546" s="46"/>
      <c r="F546" s="46"/>
      <c r="G546" s="46"/>
      <c r="H546" s="46"/>
      <c r="I546" s="46"/>
      <c r="J546" s="46"/>
      <c r="K546" s="46"/>
    </row>
    <row r="547" spans="1:11">
      <c r="A547" s="45"/>
      <c r="B547" s="45"/>
      <c r="C547" s="45"/>
      <c r="D547" s="46"/>
      <c r="E547" s="46"/>
      <c r="F547" s="46"/>
      <c r="G547" s="46"/>
      <c r="H547" s="46"/>
      <c r="I547" s="46"/>
      <c r="J547" s="46"/>
      <c r="K547" s="46"/>
    </row>
    <row r="548" spans="1:11">
      <c r="A548" s="45"/>
      <c r="B548" s="45"/>
      <c r="C548" s="45"/>
      <c r="D548" s="46"/>
      <c r="E548" s="46"/>
      <c r="F548" s="46"/>
      <c r="G548" s="46"/>
      <c r="H548" s="46"/>
      <c r="I548" s="46"/>
      <c r="J548" s="46"/>
      <c r="K548" s="46"/>
    </row>
    <row r="549" spans="1:11">
      <c r="A549" s="45"/>
      <c r="B549" s="45"/>
      <c r="C549" s="45"/>
      <c r="D549" s="46"/>
      <c r="E549" s="46"/>
      <c r="F549" s="46"/>
      <c r="G549" s="46"/>
      <c r="H549" s="46"/>
      <c r="I549" s="46"/>
      <c r="J549" s="46"/>
      <c r="K549" s="46"/>
    </row>
    <row r="550" spans="1:11">
      <c r="A550" s="45"/>
      <c r="B550" s="45"/>
      <c r="C550" s="45"/>
      <c r="D550" s="46"/>
      <c r="E550" s="46"/>
      <c r="F550" s="46"/>
      <c r="G550" s="46"/>
      <c r="H550" s="46"/>
      <c r="I550" s="46"/>
      <c r="J550" s="46"/>
      <c r="K550" s="46"/>
    </row>
    <row r="551" spans="1:11">
      <c r="A551" s="45"/>
      <c r="B551" s="45"/>
      <c r="C551" s="45"/>
      <c r="D551" s="46"/>
      <c r="E551" s="46"/>
      <c r="F551" s="46"/>
      <c r="G551" s="46"/>
      <c r="H551" s="46"/>
      <c r="I551" s="46"/>
      <c r="J551" s="46"/>
      <c r="K551" s="46"/>
    </row>
    <row r="552" spans="1:11">
      <c r="A552" s="45"/>
      <c r="B552" s="45"/>
      <c r="C552" s="45"/>
      <c r="D552" s="46"/>
      <c r="E552" s="46"/>
      <c r="F552" s="46"/>
      <c r="G552" s="46"/>
      <c r="H552" s="46"/>
      <c r="I552" s="46"/>
      <c r="J552" s="46"/>
      <c r="K552" s="46"/>
    </row>
    <row r="553" spans="1:11">
      <c r="A553" s="45"/>
      <c r="B553" s="45"/>
      <c r="C553" s="45"/>
      <c r="D553" s="46"/>
      <c r="E553" s="46"/>
      <c r="F553" s="46"/>
      <c r="G553" s="46"/>
      <c r="H553" s="46"/>
      <c r="I553" s="46"/>
      <c r="J553" s="46"/>
      <c r="K553" s="46"/>
    </row>
    <row r="554" spans="1:11">
      <c r="A554" s="45"/>
      <c r="B554" s="45"/>
      <c r="C554" s="45"/>
      <c r="D554" s="46"/>
      <c r="E554" s="46"/>
      <c r="F554" s="46"/>
      <c r="G554" s="46"/>
      <c r="H554" s="46"/>
      <c r="I554" s="46"/>
      <c r="J554" s="46"/>
      <c r="K554" s="46"/>
    </row>
    <row r="555" spans="1:11">
      <c r="A555" s="45"/>
      <c r="B555" s="45"/>
      <c r="C555" s="45"/>
      <c r="D555" s="46"/>
      <c r="E555" s="46"/>
      <c r="F555" s="46"/>
      <c r="G555" s="46"/>
      <c r="H555" s="46"/>
      <c r="I555" s="46"/>
      <c r="J555" s="46"/>
      <c r="K555" s="46"/>
    </row>
    <row r="556" spans="1:11">
      <c r="A556" s="45"/>
      <c r="B556" s="45"/>
      <c r="C556" s="45"/>
      <c r="D556" s="46"/>
      <c r="E556" s="46"/>
      <c r="F556" s="46"/>
      <c r="G556" s="46"/>
      <c r="H556" s="46"/>
      <c r="I556" s="46"/>
      <c r="J556" s="46"/>
      <c r="K556" s="46"/>
    </row>
    <row r="557" spans="1:11">
      <c r="A557" s="45"/>
      <c r="B557" s="45"/>
      <c r="C557" s="45"/>
      <c r="D557" s="46"/>
      <c r="E557" s="46"/>
      <c r="F557" s="46"/>
      <c r="G557" s="46"/>
      <c r="H557" s="46"/>
      <c r="I557" s="46"/>
      <c r="J557" s="46"/>
      <c r="K557" s="46"/>
    </row>
    <row r="558" spans="1:11">
      <c r="A558" s="45"/>
      <c r="B558" s="45"/>
      <c r="C558" s="45"/>
      <c r="D558" s="46"/>
      <c r="E558" s="46"/>
      <c r="F558" s="46"/>
      <c r="G558" s="46"/>
      <c r="H558" s="46"/>
      <c r="I558" s="46"/>
      <c r="J558" s="46"/>
      <c r="K558" s="46"/>
    </row>
    <row r="559" spans="1:11">
      <c r="A559" s="45"/>
      <c r="B559" s="45"/>
      <c r="C559" s="45"/>
      <c r="D559" s="46"/>
      <c r="E559" s="46"/>
      <c r="F559" s="46"/>
      <c r="G559" s="46"/>
      <c r="H559" s="46"/>
      <c r="I559" s="46"/>
      <c r="J559" s="46"/>
      <c r="K559" s="46"/>
    </row>
    <row r="560" spans="1:11">
      <c r="A560" s="45"/>
      <c r="B560" s="45"/>
      <c r="C560" s="45"/>
      <c r="D560" s="46"/>
      <c r="E560" s="46"/>
      <c r="F560" s="46"/>
      <c r="G560" s="46"/>
      <c r="H560" s="46"/>
      <c r="I560" s="46"/>
      <c r="J560" s="46"/>
      <c r="K560" s="46"/>
    </row>
    <row r="561" spans="1:11">
      <c r="A561" s="45"/>
      <c r="B561" s="45"/>
      <c r="C561" s="45"/>
      <c r="D561" s="46"/>
      <c r="E561" s="46"/>
      <c r="F561" s="46"/>
      <c r="G561" s="46"/>
      <c r="H561" s="46"/>
      <c r="I561" s="46"/>
      <c r="J561" s="46"/>
      <c r="K561" s="46"/>
    </row>
    <row r="562" spans="1:11">
      <c r="A562" s="45"/>
      <c r="B562" s="45"/>
      <c r="C562" s="45"/>
      <c r="D562" s="46"/>
      <c r="E562" s="46"/>
      <c r="F562" s="46"/>
      <c r="G562" s="46"/>
      <c r="H562" s="46"/>
      <c r="I562" s="46"/>
      <c r="J562" s="46"/>
      <c r="K562" s="46"/>
    </row>
    <row r="563" spans="1:11">
      <c r="A563" s="45"/>
      <c r="B563" s="45"/>
      <c r="C563" s="45"/>
      <c r="D563" s="46"/>
      <c r="E563" s="46"/>
      <c r="F563" s="46"/>
      <c r="G563" s="46"/>
      <c r="H563" s="46"/>
      <c r="I563" s="46"/>
      <c r="J563" s="46"/>
      <c r="K563" s="46"/>
    </row>
    <row r="564" spans="1:11">
      <c r="A564" s="45"/>
      <c r="B564" s="45"/>
      <c r="C564" s="45"/>
      <c r="D564" s="46"/>
      <c r="E564" s="46"/>
      <c r="F564" s="46"/>
      <c r="G564" s="46"/>
      <c r="H564" s="46"/>
      <c r="I564" s="46"/>
      <c r="J564" s="46"/>
      <c r="K564" s="46"/>
    </row>
    <row r="565" spans="1:11">
      <c r="A565" s="45"/>
      <c r="B565" s="45"/>
      <c r="C565" s="45"/>
      <c r="D565" s="46"/>
      <c r="E565" s="46"/>
      <c r="F565" s="46"/>
      <c r="G565" s="46"/>
      <c r="H565" s="46"/>
      <c r="I565" s="46"/>
      <c r="J565" s="46"/>
      <c r="K565" s="46"/>
    </row>
    <row r="566" spans="1:11">
      <c r="A566" s="45"/>
      <c r="B566" s="45"/>
      <c r="C566" s="45"/>
      <c r="D566" s="46"/>
      <c r="E566" s="46"/>
      <c r="F566" s="46"/>
      <c r="G566" s="46"/>
      <c r="H566" s="46"/>
      <c r="I566" s="46"/>
      <c r="J566" s="46"/>
      <c r="K566" s="46"/>
    </row>
    <row r="567" spans="1:11">
      <c r="A567" s="45"/>
      <c r="B567" s="45"/>
      <c r="C567" s="45"/>
      <c r="D567" s="46"/>
      <c r="E567" s="46"/>
      <c r="F567" s="46"/>
      <c r="G567" s="46"/>
      <c r="H567" s="46"/>
      <c r="I567" s="46"/>
      <c r="J567" s="46"/>
      <c r="K567" s="46"/>
    </row>
    <row r="568" spans="1:11">
      <c r="A568" s="45"/>
      <c r="B568" s="45"/>
      <c r="C568" s="45"/>
      <c r="D568" s="46"/>
      <c r="E568" s="46"/>
      <c r="F568" s="46"/>
      <c r="G568" s="46"/>
      <c r="H568" s="46"/>
      <c r="I568" s="46"/>
      <c r="J568" s="46"/>
      <c r="K568" s="46"/>
    </row>
    <row r="569" spans="1:11">
      <c r="A569" s="45"/>
      <c r="B569" s="45"/>
      <c r="C569" s="45"/>
      <c r="D569" s="46"/>
      <c r="E569" s="46"/>
      <c r="F569" s="46"/>
      <c r="G569" s="46"/>
      <c r="H569" s="46"/>
      <c r="I569" s="46"/>
      <c r="J569" s="46"/>
      <c r="K569" s="46"/>
    </row>
    <row r="570" spans="1:11">
      <c r="A570" s="45"/>
      <c r="B570" s="45"/>
      <c r="C570" s="45"/>
      <c r="D570" s="46"/>
      <c r="E570" s="46"/>
      <c r="F570" s="46"/>
      <c r="G570" s="46"/>
      <c r="H570" s="46"/>
      <c r="I570" s="46"/>
      <c r="J570" s="46"/>
      <c r="K570" s="46"/>
    </row>
    <row r="571" spans="1:11">
      <c r="A571" s="45"/>
      <c r="B571" s="45"/>
      <c r="C571" s="45"/>
      <c r="D571" s="46"/>
      <c r="E571" s="46"/>
      <c r="F571" s="46"/>
      <c r="G571" s="46"/>
      <c r="H571" s="46"/>
      <c r="I571" s="46"/>
      <c r="J571" s="46"/>
      <c r="K571" s="46"/>
    </row>
    <row r="572" spans="1:11">
      <c r="A572" s="45"/>
      <c r="B572" s="45"/>
      <c r="C572" s="45"/>
      <c r="D572" s="46"/>
      <c r="E572" s="46"/>
      <c r="F572" s="46"/>
      <c r="G572" s="46"/>
      <c r="H572" s="46"/>
      <c r="I572" s="46"/>
      <c r="J572" s="46"/>
      <c r="K572" s="46"/>
    </row>
    <row r="573" spans="1:11">
      <c r="A573" s="45"/>
      <c r="B573" s="45"/>
      <c r="C573" s="45"/>
      <c r="D573" s="46"/>
      <c r="E573" s="46"/>
      <c r="F573" s="46"/>
      <c r="G573" s="46"/>
      <c r="H573" s="46"/>
      <c r="I573" s="46"/>
      <c r="J573" s="46"/>
      <c r="K573" s="46"/>
    </row>
    <row r="574" spans="1:11">
      <c r="A574" s="45"/>
      <c r="B574" s="45"/>
      <c r="C574" s="45"/>
      <c r="D574" s="46"/>
      <c r="E574" s="46"/>
      <c r="F574" s="46"/>
      <c r="G574" s="46"/>
      <c r="H574" s="46"/>
      <c r="I574" s="46"/>
      <c r="J574" s="46"/>
      <c r="K574" s="46"/>
    </row>
    <row r="575" spans="1:11">
      <c r="A575" s="45"/>
      <c r="B575" s="45"/>
      <c r="C575" s="45"/>
      <c r="D575" s="46"/>
      <c r="E575" s="46"/>
      <c r="F575" s="46"/>
      <c r="G575" s="46"/>
      <c r="H575" s="46"/>
      <c r="I575" s="46"/>
      <c r="J575" s="46"/>
      <c r="K575" s="46"/>
    </row>
    <row r="576" spans="1:11">
      <c r="A576" s="45"/>
      <c r="B576" s="45"/>
      <c r="C576" s="45"/>
      <c r="D576" s="46"/>
      <c r="E576" s="46"/>
      <c r="F576" s="46"/>
      <c r="G576" s="46"/>
      <c r="H576" s="46"/>
      <c r="I576" s="46"/>
      <c r="J576" s="46"/>
      <c r="K576" s="46"/>
    </row>
    <row r="577" spans="1:11">
      <c r="A577" s="45"/>
      <c r="B577" s="45"/>
      <c r="C577" s="45"/>
      <c r="D577" s="46"/>
      <c r="E577" s="46"/>
      <c r="F577" s="46"/>
      <c r="G577" s="46"/>
      <c r="H577" s="46"/>
      <c r="I577" s="46"/>
      <c r="J577" s="46"/>
      <c r="K577" s="46"/>
    </row>
    <row r="578" spans="1:11">
      <c r="A578" s="45"/>
      <c r="B578" s="45"/>
      <c r="C578" s="45"/>
      <c r="D578" s="46"/>
      <c r="E578" s="46"/>
      <c r="F578" s="46"/>
      <c r="G578" s="46"/>
      <c r="H578" s="46"/>
      <c r="I578" s="46"/>
      <c r="J578" s="46"/>
      <c r="K578" s="46"/>
    </row>
    <row r="579" spans="1:11">
      <c r="A579" s="45"/>
      <c r="B579" s="45"/>
      <c r="C579" s="45"/>
      <c r="D579" s="46"/>
      <c r="E579" s="46"/>
      <c r="F579" s="46"/>
      <c r="G579" s="46"/>
      <c r="H579" s="46"/>
      <c r="I579" s="46"/>
      <c r="J579" s="46"/>
      <c r="K579" s="46"/>
    </row>
    <row r="580" spans="1:11">
      <c r="A580" s="45"/>
      <c r="B580" s="45"/>
      <c r="C580" s="45"/>
      <c r="D580" s="46"/>
      <c r="E580" s="46"/>
      <c r="F580" s="46"/>
      <c r="G580" s="46"/>
      <c r="H580" s="46"/>
      <c r="I580" s="46"/>
      <c r="J580" s="46"/>
      <c r="K580" s="46"/>
    </row>
    <row r="581" spans="1:11">
      <c r="A581" s="45"/>
      <c r="B581" s="45"/>
      <c r="C581" s="45"/>
      <c r="D581" s="46"/>
      <c r="E581" s="46"/>
      <c r="F581" s="46"/>
      <c r="G581" s="46"/>
      <c r="H581" s="46"/>
      <c r="I581" s="46"/>
      <c r="J581" s="46"/>
      <c r="K581" s="46"/>
    </row>
    <row r="582" spans="1:11">
      <c r="A582" s="45"/>
      <c r="B582" s="45"/>
      <c r="C582" s="45"/>
      <c r="D582" s="46"/>
      <c r="E582" s="46"/>
      <c r="F582" s="46"/>
      <c r="G582" s="46"/>
      <c r="H582" s="46"/>
      <c r="I582" s="46"/>
      <c r="J582" s="46"/>
      <c r="K582" s="46"/>
    </row>
    <row r="583" spans="1:11">
      <c r="A583" s="45"/>
      <c r="B583" s="45"/>
      <c r="C583" s="45"/>
      <c r="D583" s="46"/>
      <c r="E583" s="46"/>
      <c r="F583" s="46"/>
      <c r="G583" s="46"/>
      <c r="H583" s="46"/>
      <c r="I583" s="46"/>
      <c r="J583" s="46"/>
      <c r="K583" s="46"/>
    </row>
    <row r="584" spans="1:11">
      <c r="A584" s="45"/>
      <c r="B584" s="45"/>
      <c r="C584" s="45"/>
      <c r="D584" s="46"/>
      <c r="E584" s="46"/>
      <c r="F584" s="46"/>
      <c r="G584" s="46"/>
      <c r="H584" s="46"/>
      <c r="I584" s="46"/>
      <c r="J584" s="46"/>
      <c r="K584" s="46"/>
    </row>
    <row r="585" spans="1:11">
      <c r="A585" s="45"/>
      <c r="B585" s="45"/>
      <c r="C585" s="45"/>
      <c r="D585" s="46"/>
      <c r="E585" s="46"/>
      <c r="F585" s="46"/>
      <c r="G585" s="46"/>
      <c r="H585" s="46"/>
      <c r="I585" s="46"/>
      <c r="J585" s="46"/>
      <c r="K585" s="46"/>
    </row>
    <row r="586" spans="1:11">
      <c r="A586" s="45"/>
      <c r="B586" s="45"/>
      <c r="C586" s="45"/>
      <c r="D586" s="46"/>
      <c r="E586" s="46"/>
      <c r="F586" s="46"/>
      <c r="G586" s="46"/>
      <c r="H586" s="46"/>
      <c r="I586" s="46"/>
      <c r="J586" s="46"/>
      <c r="K586" s="46"/>
    </row>
    <row r="587" spans="1:11">
      <c r="A587" s="45"/>
      <c r="B587" s="45"/>
      <c r="C587" s="45"/>
      <c r="D587" s="46"/>
      <c r="E587" s="46"/>
      <c r="F587" s="46"/>
      <c r="G587" s="46"/>
      <c r="H587" s="46"/>
      <c r="I587" s="46"/>
      <c r="J587" s="46"/>
      <c r="K587" s="46"/>
    </row>
    <row r="588" spans="1:11">
      <c r="A588" s="45"/>
      <c r="B588" s="45"/>
      <c r="C588" s="45"/>
      <c r="D588" s="46"/>
      <c r="E588" s="46"/>
      <c r="F588" s="46"/>
      <c r="G588" s="46"/>
      <c r="H588" s="46"/>
      <c r="I588" s="46"/>
      <c r="J588" s="46"/>
      <c r="K588" s="46"/>
    </row>
    <row r="589" spans="1:11">
      <c r="A589" s="45"/>
      <c r="B589" s="45"/>
      <c r="C589" s="45"/>
      <c r="D589" s="46"/>
      <c r="E589" s="46"/>
      <c r="F589" s="46"/>
      <c r="G589" s="46"/>
      <c r="H589" s="46"/>
      <c r="I589" s="46"/>
      <c r="J589" s="46"/>
      <c r="K589" s="46"/>
    </row>
    <row r="590" spans="1:11">
      <c r="A590" s="45"/>
      <c r="B590" s="45"/>
      <c r="C590" s="45"/>
      <c r="D590" s="46"/>
      <c r="E590" s="46"/>
      <c r="F590" s="46"/>
      <c r="G590" s="46"/>
      <c r="H590" s="46"/>
      <c r="I590" s="46"/>
      <c r="J590" s="46"/>
      <c r="K590" s="46"/>
    </row>
    <row r="591" spans="1:11">
      <c r="A591" s="45"/>
      <c r="B591" s="45"/>
      <c r="C591" s="45"/>
      <c r="D591" s="46"/>
      <c r="E591" s="46"/>
      <c r="F591" s="46"/>
      <c r="G591" s="46"/>
      <c r="H591" s="46"/>
      <c r="I591" s="46"/>
      <c r="J591" s="46"/>
      <c r="K591" s="46"/>
    </row>
    <row r="592" spans="1:11">
      <c r="A592" s="45"/>
      <c r="B592" s="45"/>
      <c r="C592" s="45"/>
      <c r="D592" s="46"/>
      <c r="E592" s="46"/>
      <c r="F592" s="46"/>
      <c r="G592" s="46"/>
      <c r="H592" s="46"/>
      <c r="I592" s="46"/>
      <c r="J592" s="46"/>
      <c r="K592" s="46"/>
    </row>
    <row r="593" spans="1:11">
      <c r="A593" s="45"/>
      <c r="B593" s="45"/>
      <c r="C593" s="45"/>
      <c r="D593" s="46"/>
      <c r="E593" s="46"/>
      <c r="F593" s="46"/>
      <c r="G593" s="46"/>
      <c r="H593" s="46"/>
      <c r="I593" s="46"/>
      <c r="J593" s="46"/>
      <c r="K593" s="46"/>
    </row>
    <row r="594" spans="1:11">
      <c r="A594" s="45"/>
      <c r="B594" s="45"/>
      <c r="C594" s="45"/>
      <c r="D594" s="46"/>
      <c r="E594" s="46"/>
      <c r="F594" s="46"/>
      <c r="G594" s="46"/>
      <c r="H594" s="46"/>
      <c r="I594" s="46"/>
      <c r="J594" s="46"/>
      <c r="K594" s="46"/>
    </row>
    <row r="595" spans="1:11">
      <c r="A595" s="45"/>
      <c r="B595" s="45"/>
      <c r="C595" s="45"/>
      <c r="D595" s="46"/>
      <c r="E595" s="46"/>
      <c r="F595" s="46"/>
      <c r="G595" s="46"/>
      <c r="H595" s="46"/>
      <c r="I595" s="46"/>
      <c r="J595" s="46"/>
      <c r="K595" s="46"/>
    </row>
    <row r="596" spans="1:11">
      <c r="A596" s="45"/>
      <c r="B596" s="45"/>
      <c r="C596" s="45"/>
      <c r="D596" s="46"/>
      <c r="E596" s="46"/>
      <c r="F596" s="46"/>
      <c r="G596" s="46"/>
      <c r="H596" s="46"/>
      <c r="I596" s="46"/>
      <c r="J596" s="46"/>
      <c r="K596" s="46"/>
    </row>
    <row r="597" spans="1:11">
      <c r="A597" s="45"/>
      <c r="B597" s="45"/>
      <c r="C597" s="45"/>
      <c r="D597" s="46"/>
      <c r="E597" s="46"/>
      <c r="F597" s="46"/>
      <c r="G597" s="46"/>
      <c r="H597" s="46"/>
      <c r="I597" s="46"/>
      <c r="J597" s="46"/>
      <c r="K597" s="46"/>
    </row>
    <row r="598" spans="1:11">
      <c r="A598" s="45"/>
      <c r="B598" s="45"/>
      <c r="C598" s="45"/>
      <c r="D598" s="46"/>
      <c r="E598" s="46"/>
      <c r="F598" s="46"/>
      <c r="G598" s="46"/>
      <c r="H598" s="46"/>
      <c r="I598" s="46"/>
      <c r="J598" s="46"/>
      <c r="K598" s="46"/>
    </row>
    <row r="599" spans="1:11">
      <c r="A599" s="45"/>
      <c r="B599" s="45"/>
      <c r="C599" s="45"/>
      <c r="D599" s="46"/>
      <c r="E599" s="46"/>
      <c r="F599" s="46"/>
      <c r="G599" s="46"/>
      <c r="H599" s="46"/>
      <c r="I599" s="46"/>
      <c r="J599" s="46"/>
      <c r="K599" s="46"/>
    </row>
    <row r="600" spans="1:11">
      <c r="A600" s="45"/>
      <c r="B600" s="45"/>
      <c r="C600" s="45"/>
      <c r="D600" s="46"/>
      <c r="E600" s="46"/>
      <c r="F600" s="46"/>
      <c r="G600" s="46"/>
      <c r="H600" s="46"/>
      <c r="I600" s="46"/>
      <c r="J600" s="46"/>
      <c r="K600" s="46"/>
    </row>
    <row r="601" spans="1:11">
      <c r="A601" s="45"/>
      <c r="B601" s="45"/>
      <c r="C601" s="45"/>
      <c r="D601" s="46"/>
      <c r="E601" s="46"/>
      <c r="F601" s="46"/>
      <c r="G601" s="46"/>
      <c r="H601" s="46"/>
      <c r="I601" s="46"/>
      <c r="J601" s="46"/>
      <c r="K601" s="46"/>
    </row>
    <row r="602" spans="1:11">
      <c r="A602" s="45"/>
      <c r="B602" s="45"/>
      <c r="C602" s="45"/>
      <c r="D602" s="46"/>
      <c r="E602" s="46"/>
      <c r="F602" s="46"/>
      <c r="G602" s="46"/>
      <c r="H602" s="46"/>
      <c r="I602" s="46"/>
      <c r="J602" s="46"/>
      <c r="K602" s="46"/>
    </row>
    <row r="603" spans="1:11">
      <c r="A603" s="45"/>
      <c r="B603" s="45"/>
      <c r="C603" s="45"/>
      <c r="D603" s="46"/>
      <c r="E603" s="46"/>
      <c r="F603" s="46"/>
      <c r="G603" s="46"/>
      <c r="H603" s="46"/>
      <c r="I603" s="46"/>
      <c r="J603" s="46"/>
      <c r="K603" s="46"/>
    </row>
    <row r="604" spans="1:11">
      <c r="A604" s="45"/>
      <c r="B604" s="45"/>
      <c r="C604" s="45"/>
      <c r="D604" s="46"/>
      <c r="E604" s="46"/>
      <c r="F604" s="46"/>
      <c r="G604" s="46"/>
      <c r="H604" s="46"/>
      <c r="I604" s="46"/>
      <c r="J604" s="46"/>
      <c r="K604" s="46"/>
    </row>
    <row r="605" spans="1:11">
      <c r="A605" s="45"/>
      <c r="B605" s="45"/>
      <c r="C605" s="45"/>
      <c r="D605" s="46"/>
      <c r="E605" s="46"/>
      <c r="F605" s="46"/>
      <c r="G605" s="46"/>
      <c r="H605" s="46"/>
      <c r="I605" s="46"/>
      <c r="J605" s="46"/>
      <c r="K605" s="46"/>
    </row>
    <row r="606" spans="1:11">
      <c r="A606" s="45"/>
      <c r="B606" s="45"/>
      <c r="C606" s="45"/>
      <c r="D606" s="46"/>
      <c r="E606" s="46"/>
      <c r="F606" s="46"/>
      <c r="G606" s="46"/>
      <c r="H606" s="46"/>
      <c r="I606" s="46"/>
      <c r="J606" s="46"/>
      <c r="K606" s="46"/>
    </row>
    <row r="607" spans="1:11">
      <c r="A607" s="45"/>
      <c r="B607" s="45"/>
      <c r="C607" s="45"/>
      <c r="D607" s="46"/>
      <c r="E607" s="46"/>
      <c r="F607" s="46"/>
      <c r="G607" s="46"/>
      <c r="H607" s="46"/>
      <c r="I607" s="46"/>
      <c r="J607" s="46"/>
      <c r="K607" s="46"/>
    </row>
    <row r="608" spans="1:11">
      <c r="A608" s="45"/>
      <c r="B608" s="45"/>
      <c r="C608" s="45"/>
      <c r="D608" s="46"/>
      <c r="E608" s="46"/>
      <c r="F608" s="46"/>
      <c r="G608" s="46"/>
      <c r="H608" s="46"/>
      <c r="I608" s="46"/>
      <c r="J608" s="46"/>
      <c r="K608" s="46"/>
    </row>
    <row r="609" spans="1:11">
      <c r="A609" s="45"/>
      <c r="B609" s="45"/>
      <c r="C609" s="45"/>
      <c r="D609" s="46"/>
      <c r="E609" s="46"/>
      <c r="F609" s="46"/>
      <c r="G609" s="46"/>
      <c r="H609" s="46"/>
      <c r="I609" s="46"/>
      <c r="J609" s="46"/>
      <c r="K609" s="46"/>
    </row>
    <row r="610" spans="1:11">
      <c r="A610" s="45"/>
      <c r="B610" s="45"/>
      <c r="C610" s="45"/>
      <c r="D610" s="46"/>
      <c r="E610" s="46"/>
      <c r="F610" s="46"/>
      <c r="G610" s="46"/>
      <c r="H610" s="46"/>
      <c r="I610" s="46"/>
      <c r="J610" s="46"/>
      <c r="K610" s="46"/>
    </row>
    <row r="611" spans="1:11">
      <c r="A611" s="45"/>
      <c r="B611" s="45"/>
      <c r="C611" s="45"/>
      <c r="D611" s="46"/>
      <c r="E611" s="46"/>
      <c r="F611" s="46"/>
      <c r="G611" s="46"/>
      <c r="H611" s="46"/>
      <c r="I611" s="46"/>
      <c r="J611" s="46"/>
      <c r="K611" s="46"/>
    </row>
    <row r="612" spans="1:11">
      <c r="A612" s="45"/>
      <c r="B612" s="45"/>
      <c r="C612" s="45"/>
      <c r="D612" s="46"/>
      <c r="E612" s="46"/>
      <c r="F612" s="46"/>
      <c r="G612" s="46"/>
      <c r="H612" s="46"/>
      <c r="I612" s="46"/>
      <c r="J612" s="46"/>
      <c r="K612" s="46"/>
    </row>
    <row r="613" spans="1:11">
      <c r="A613" s="45"/>
      <c r="B613" s="45"/>
      <c r="C613" s="45"/>
      <c r="D613" s="46"/>
      <c r="E613" s="46"/>
      <c r="F613" s="46"/>
      <c r="G613" s="46"/>
      <c r="H613" s="46"/>
      <c r="I613" s="46"/>
      <c r="J613" s="46"/>
      <c r="K613" s="46"/>
    </row>
    <row r="614" spans="1:11">
      <c r="A614" s="45"/>
      <c r="B614" s="45"/>
      <c r="C614" s="45"/>
      <c r="D614" s="46"/>
      <c r="E614" s="46"/>
      <c r="F614" s="46"/>
      <c r="G614" s="46"/>
      <c r="H614" s="46"/>
      <c r="I614" s="46"/>
      <c r="J614" s="46"/>
      <c r="K614" s="46"/>
    </row>
    <row r="615" spans="1:11">
      <c r="A615" s="45"/>
      <c r="B615" s="45"/>
      <c r="C615" s="45"/>
      <c r="D615" s="46"/>
      <c r="E615" s="46"/>
      <c r="F615" s="46"/>
      <c r="G615" s="46"/>
      <c r="H615" s="46"/>
      <c r="I615" s="46"/>
      <c r="J615" s="46"/>
      <c r="K615" s="46"/>
    </row>
    <row r="616" spans="1:11">
      <c r="A616" s="45"/>
      <c r="B616" s="45"/>
      <c r="C616" s="45"/>
      <c r="D616" s="46"/>
      <c r="E616" s="46"/>
      <c r="F616" s="46"/>
      <c r="G616" s="46"/>
      <c r="H616" s="46"/>
      <c r="I616" s="46"/>
      <c r="J616" s="46"/>
      <c r="K616" s="46"/>
    </row>
    <row r="617" spans="1:11">
      <c r="A617" s="45"/>
      <c r="B617" s="45"/>
      <c r="C617" s="45"/>
      <c r="D617" s="46"/>
      <c r="E617" s="46"/>
      <c r="F617" s="46"/>
      <c r="G617" s="46"/>
      <c r="H617" s="46"/>
      <c r="I617" s="46"/>
      <c r="J617" s="46"/>
      <c r="K617" s="46"/>
    </row>
    <row r="618" spans="1:11">
      <c r="A618" s="45"/>
      <c r="B618" s="45"/>
      <c r="C618" s="45"/>
      <c r="D618" s="46"/>
      <c r="E618" s="46"/>
      <c r="F618" s="46"/>
      <c r="G618" s="46"/>
      <c r="H618" s="46"/>
      <c r="I618" s="46"/>
      <c r="J618" s="46"/>
      <c r="K618" s="46"/>
    </row>
    <row r="619" spans="1:11">
      <c r="A619" s="45"/>
      <c r="B619" s="45"/>
      <c r="C619" s="45"/>
      <c r="D619" s="46"/>
      <c r="E619" s="46"/>
      <c r="F619" s="46"/>
      <c r="G619" s="46"/>
      <c r="H619" s="46"/>
      <c r="I619" s="46"/>
      <c r="J619" s="46"/>
      <c r="K619" s="46"/>
    </row>
    <row r="620" spans="1:11">
      <c r="A620" s="45"/>
      <c r="B620" s="45"/>
      <c r="C620" s="45"/>
      <c r="D620" s="46"/>
      <c r="E620" s="46"/>
      <c r="F620" s="46"/>
      <c r="G620" s="46"/>
      <c r="H620" s="46"/>
      <c r="I620" s="46"/>
      <c r="J620" s="46"/>
      <c r="K620" s="46"/>
    </row>
    <row r="621" spans="1:11">
      <c r="A621" s="45"/>
      <c r="B621" s="45"/>
      <c r="C621" s="45"/>
      <c r="D621" s="46"/>
      <c r="E621" s="46"/>
      <c r="F621" s="46"/>
      <c r="G621" s="46"/>
      <c r="H621" s="46"/>
      <c r="I621" s="46"/>
      <c r="J621" s="46"/>
      <c r="K621" s="46"/>
    </row>
    <row r="622" spans="1:11">
      <c r="A622" s="45"/>
      <c r="B622" s="45"/>
      <c r="C622" s="45"/>
      <c r="D622" s="46"/>
      <c r="E622" s="46"/>
      <c r="F622" s="46"/>
      <c r="G622" s="46"/>
      <c r="H622" s="46"/>
      <c r="I622" s="46"/>
      <c r="J622" s="46"/>
      <c r="K622" s="46"/>
    </row>
    <row r="623" spans="1:11">
      <c r="A623" s="45"/>
      <c r="B623" s="45"/>
      <c r="C623" s="45"/>
      <c r="D623" s="46"/>
      <c r="E623" s="46"/>
      <c r="F623" s="46"/>
      <c r="G623" s="46"/>
      <c r="H623" s="46"/>
      <c r="I623" s="46"/>
      <c r="J623" s="46"/>
      <c r="K623" s="46"/>
    </row>
    <row r="624" spans="1:11">
      <c r="A624" s="45"/>
      <c r="B624" s="45"/>
      <c r="C624" s="45"/>
      <c r="D624" s="46"/>
      <c r="E624" s="46"/>
      <c r="F624" s="46"/>
      <c r="G624" s="46"/>
      <c r="H624" s="46"/>
      <c r="I624" s="46"/>
      <c r="J624" s="46"/>
      <c r="K624" s="46"/>
    </row>
    <row r="625" spans="1:11">
      <c r="A625" s="45"/>
      <c r="B625" s="45"/>
      <c r="C625" s="45"/>
      <c r="D625" s="46"/>
      <c r="E625" s="46"/>
      <c r="F625" s="46"/>
      <c r="G625" s="46"/>
      <c r="H625" s="46"/>
      <c r="I625" s="46"/>
      <c r="J625" s="46"/>
      <c r="K625" s="46"/>
    </row>
    <row r="626" spans="1:11">
      <c r="A626" s="45"/>
      <c r="B626" s="45"/>
      <c r="C626" s="45"/>
      <c r="D626" s="46"/>
      <c r="E626" s="46"/>
      <c r="F626" s="46"/>
      <c r="G626" s="46"/>
      <c r="H626" s="46"/>
      <c r="I626" s="46"/>
      <c r="J626" s="46"/>
      <c r="K626" s="46"/>
    </row>
    <row r="627" spans="1:11">
      <c r="A627" s="45"/>
      <c r="B627" s="45"/>
      <c r="C627" s="45"/>
      <c r="D627" s="46"/>
      <c r="E627" s="46"/>
      <c r="F627" s="46"/>
      <c r="G627" s="46"/>
      <c r="H627" s="46"/>
      <c r="I627" s="46"/>
      <c r="J627" s="46"/>
      <c r="K627" s="46"/>
    </row>
    <row r="628" spans="1:11">
      <c r="A628" s="45"/>
      <c r="B628" s="45"/>
      <c r="C628" s="45"/>
      <c r="D628" s="46"/>
      <c r="E628" s="46"/>
      <c r="F628" s="46"/>
      <c r="G628" s="46"/>
      <c r="H628" s="46"/>
      <c r="I628" s="46"/>
      <c r="J628" s="46"/>
      <c r="K628" s="46"/>
    </row>
    <row r="629" spans="1:11">
      <c r="A629" s="45"/>
      <c r="B629" s="45"/>
      <c r="C629" s="45"/>
      <c r="D629" s="46"/>
      <c r="E629" s="46"/>
      <c r="F629" s="46"/>
      <c r="G629" s="46"/>
      <c r="H629" s="46"/>
      <c r="I629" s="46"/>
      <c r="J629" s="46"/>
      <c r="K629" s="46"/>
    </row>
    <row r="630" spans="1:11">
      <c r="A630" s="45"/>
      <c r="B630" s="45"/>
      <c r="C630" s="45"/>
      <c r="D630" s="46"/>
      <c r="E630" s="46"/>
      <c r="F630" s="46"/>
      <c r="G630" s="46"/>
      <c r="H630" s="46"/>
      <c r="I630" s="46"/>
      <c r="J630" s="46"/>
      <c r="K630" s="46"/>
    </row>
    <row r="631" spans="1:11">
      <c r="A631" s="45"/>
      <c r="B631" s="45"/>
      <c r="C631" s="45"/>
      <c r="D631" s="46"/>
      <c r="E631" s="46"/>
      <c r="F631" s="46"/>
      <c r="G631" s="46"/>
      <c r="H631" s="46"/>
      <c r="I631" s="46"/>
      <c r="J631" s="46"/>
      <c r="K631" s="46"/>
    </row>
    <row r="632" spans="1:11">
      <c r="A632" s="45"/>
      <c r="B632" s="45"/>
      <c r="C632" s="45"/>
      <c r="D632" s="46"/>
      <c r="E632" s="46"/>
      <c r="F632" s="46"/>
      <c r="G632" s="46"/>
      <c r="H632" s="46"/>
      <c r="I632" s="46"/>
      <c r="J632" s="46"/>
      <c r="K632" s="46"/>
    </row>
    <row r="633" spans="1:11">
      <c r="A633" s="45"/>
      <c r="B633" s="45"/>
      <c r="C633" s="45"/>
      <c r="D633" s="46"/>
      <c r="E633" s="46"/>
      <c r="F633" s="46"/>
      <c r="G633" s="46"/>
      <c r="H633" s="46"/>
      <c r="I633" s="46"/>
      <c r="J633" s="46"/>
      <c r="K633" s="46"/>
    </row>
    <row r="634" spans="1:11">
      <c r="A634" s="45"/>
      <c r="B634" s="45"/>
      <c r="C634" s="45"/>
      <c r="D634" s="46"/>
      <c r="E634" s="46"/>
      <c r="F634" s="46"/>
      <c r="G634" s="46"/>
      <c r="H634" s="46"/>
      <c r="I634" s="46"/>
      <c r="J634" s="46"/>
      <c r="K634" s="46"/>
    </row>
    <row r="635" spans="1:11">
      <c r="A635" s="45"/>
      <c r="B635" s="45"/>
      <c r="C635" s="45"/>
      <c r="D635" s="46"/>
      <c r="E635" s="46"/>
      <c r="F635" s="46"/>
      <c r="G635" s="46"/>
      <c r="H635" s="46"/>
      <c r="I635" s="46"/>
      <c r="J635" s="46"/>
      <c r="K635" s="46"/>
    </row>
    <row r="636" spans="1:11">
      <c r="A636" s="45"/>
      <c r="B636" s="45"/>
      <c r="C636" s="45"/>
      <c r="D636" s="46"/>
      <c r="E636" s="46"/>
      <c r="F636" s="46"/>
      <c r="G636" s="46"/>
      <c r="H636" s="46"/>
      <c r="I636" s="46"/>
      <c r="J636" s="46"/>
      <c r="K636" s="46"/>
    </row>
    <row r="637" spans="1:11">
      <c r="A637" s="45"/>
      <c r="B637" s="45"/>
      <c r="C637" s="45"/>
      <c r="D637" s="46"/>
      <c r="E637" s="46"/>
      <c r="F637" s="46"/>
      <c r="G637" s="46"/>
      <c r="H637" s="46"/>
      <c r="I637" s="46"/>
      <c r="J637" s="46"/>
      <c r="K637" s="46"/>
    </row>
    <row r="638" spans="1:11">
      <c r="A638" s="45"/>
      <c r="B638" s="45"/>
      <c r="C638" s="45"/>
      <c r="D638" s="46"/>
      <c r="E638" s="46"/>
      <c r="F638" s="46"/>
      <c r="G638" s="46"/>
      <c r="H638" s="46"/>
      <c r="I638" s="46"/>
      <c r="J638" s="46"/>
      <c r="K638" s="46"/>
    </row>
    <row r="639" spans="1:11">
      <c r="A639" s="45"/>
      <c r="B639" s="45"/>
      <c r="C639" s="45"/>
      <c r="D639" s="46"/>
      <c r="E639" s="46"/>
      <c r="F639" s="46"/>
      <c r="G639" s="46"/>
      <c r="H639" s="46"/>
      <c r="I639" s="46"/>
      <c r="J639" s="46"/>
      <c r="K639" s="46"/>
    </row>
    <row r="640" spans="1:11">
      <c r="A640" s="45"/>
      <c r="B640" s="45"/>
      <c r="C640" s="45"/>
      <c r="D640" s="46"/>
      <c r="E640" s="46"/>
      <c r="F640" s="46"/>
      <c r="G640" s="46"/>
      <c r="H640" s="46"/>
      <c r="I640" s="46"/>
      <c r="J640" s="46"/>
      <c r="K640" s="46"/>
    </row>
    <row r="641" spans="1:11">
      <c r="A641" s="45"/>
      <c r="B641" s="45"/>
      <c r="C641" s="45"/>
      <c r="D641" s="46"/>
      <c r="E641" s="46"/>
      <c r="F641" s="46"/>
      <c r="G641" s="46"/>
      <c r="H641" s="46"/>
      <c r="I641" s="46"/>
      <c r="J641" s="46"/>
      <c r="K641" s="46"/>
    </row>
    <row r="642" spans="1:11">
      <c r="A642" s="45"/>
      <c r="B642" s="45"/>
      <c r="C642" s="45"/>
      <c r="D642" s="46"/>
      <c r="E642" s="46"/>
      <c r="F642" s="46"/>
      <c r="G642" s="46"/>
      <c r="H642" s="46"/>
      <c r="I642" s="46"/>
      <c r="J642" s="46"/>
      <c r="K642" s="46"/>
    </row>
    <row r="643" spans="1:11">
      <c r="A643" s="45"/>
      <c r="B643" s="45"/>
      <c r="C643" s="45"/>
      <c r="D643" s="46"/>
      <c r="E643" s="46"/>
      <c r="F643" s="46"/>
      <c r="G643" s="46"/>
      <c r="H643" s="46"/>
      <c r="I643" s="46"/>
      <c r="J643" s="46"/>
      <c r="K643" s="46"/>
    </row>
    <row r="644" spans="1:11">
      <c r="A644" s="45"/>
      <c r="B644" s="45"/>
      <c r="C644" s="45"/>
      <c r="D644" s="46"/>
      <c r="E644" s="46"/>
      <c r="F644" s="46"/>
      <c r="G644" s="46"/>
      <c r="H644" s="46"/>
      <c r="I644" s="46"/>
      <c r="J644" s="46"/>
      <c r="K644" s="46"/>
    </row>
    <row r="645" spans="1:11">
      <c r="A645" s="45"/>
      <c r="B645" s="45"/>
      <c r="C645" s="45"/>
      <c r="D645" s="46"/>
      <c r="E645" s="46"/>
      <c r="F645" s="46"/>
      <c r="G645" s="46"/>
      <c r="H645" s="46"/>
      <c r="I645" s="46"/>
      <c r="J645" s="46"/>
      <c r="K645" s="46"/>
    </row>
    <row r="646" spans="1:11">
      <c r="A646" s="45"/>
      <c r="B646" s="45"/>
      <c r="C646" s="45"/>
      <c r="D646" s="46"/>
      <c r="E646" s="46"/>
      <c r="F646" s="46"/>
      <c r="G646" s="46"/>
      <c r="H646" s="46"/>
      <c r="I646" s="46"/>
      <c r="J646" s="46"/>
      <c r="K646" s="46"/>
    </row>
    <row r="647" spans="1:11">
      <c r="A647" s="45"/>
      <c r="B647" s="45"/>
      <c r="C647" s="45"/>
      <c r="D647" s="46"/>
      <c r="E647" s="46"/>
      <c r="F647" s="46"/>
      <c r="G647" s="46"/>
      <c r="H647" s="46"/>
      <c r="I647" s="46"/>
      <c r="J647" s="46"/>
      <c r="K647" s="46"/>
    </row>
    <row r="648" spans="1:11">
      <c r="A648" s="45"/>
      <c r="B648" s="45"/>
      <c r="C648" s="45"/>
      <c r="D648" s="46"/>
      <c r="E648" s="46"/>
      <c r="F648" s="46"/>
      <c r="G648" s="46"/>
      <c r="H648" s="46"/>
      <c r="I648" s="46"/>
      <c r="J648" s="46"/>
      <c r="K648" s="46"/>
    </row>
    <row r="649" spans="1:11">
      <c r="A649" s="45"/>
      <c r="B649" s="45"/>
      <c r="C649" s="45"/>
      <c r="D649" s="46"/>
      <c r="E649" s="46"/>
      <c r="F649" s="46"/>
      <c r="G649" s="46"/>
      <c r="H649" s="46"/>
      <c r="I649" s="46"/>
      <c r="J649" s="46"/>
      <c r="K649" s="46"/>
    </row>
    <row r="650" spans="1:11">
      <c r="A650" s="45"/>
      <c r="B650" s="45"/>
      <c r="C650" s="45"/>
      <c r="D650" s="46"/>
      <c r="E650" s="46"/>
      <c r="F650" s="46"/>
      <c r="G650" s="46"/>
      <c r="H650" s="46"/>
      <c r="I650" s="46"/>
      <c r="J650" s="46"/>
      <c r="K650" s="46"/>
    </row>
    <row r="651" spans="1:11">
      <c r="A651" s="45"/>
      <c r="B651" s="45"/>
      <c r="C651" s="45"/>
      <c r="D651" s="46"/>
      <c r="E651" s="46"/>
      <c r="F651" s="46"/>
      <c r="G651" s="46"/>
      <c r="H651" s="46"/>
      <c r="I651" s="46"/>
      <c r="J651" s="46"/>
      <c r="K651" s="46"/>
    </row>
    <row r="652" spans="1:11">
      <c r="A652" s="45"/>
      <c r="B652" s="45"/>
      <c r="C652" s="45"/>
      <c r="D652" s="46"/>
      <c r="E652" s="46"/>
      <c r="F652" s="46"/>
      <c r="G652" s="46"/>
      <c r="H652" s="46"/>
      <c r="I652" s="46"/>
      <c r="J652" s="46"/>
      <c r="K652" s="46"/>
    </row>
    <row r="653" spans="1:11">
      <c r="A653" s="45"/>
      <c r="B653" s="45"/>
      <c r="C653" s="45"/>
      <c r="D653" s="46"/>
      <c r="E653" s="46"/>
      <c r="F653" s="46"/>
      <c r="G653" s="46"/>
      <c r="H653" s="46"/>
      <c r="I653" s="46"/>
      <c r="J653" s="46"/>
      <c r="K653" s="46"/>
    </row>
    <row r="654" spans="1:11">
      <c r="A654" s="45"/>
      <c r="B654" s="45"/>
      <c r="C654" s="45"/>
      <c r="D654" s="46"/>
      <c r="E654" s="46"/>
      <c r="F654" s="46"/>
      <c r="G654" s="46"/>
      <c r="H654" s="46"/>
      <c r="I654" s="46"/>
      <c r="J654" s="46"/>
      <c r="K654" s="46"/>
    </row>
    <row r="655" spans="1:11">
      <c r="A655" s="45"/>
      <c r="B655" s="45"/>
      <c r="C655" s="45"/>
      <c r="D655" s="46"/>
      <c r="E655" s="46"/>
      <c r="F655" s="46"/>
      <c r="G655" s="46"/>
      <c r="H655" s="46"/>
      <c r="I655" s="46"/>
      <c r="J655" s="46"/>
      <c r="K655" s="46"/>
    </row>
    <row r="656" spans="1:11">
      <c r="A656" s="45"/>
      <c r="B656" s="45"/>
      <c r="C656" s="45"/>
      <c r="D656" s="46"/>
      <c r="E656" s="46"/>
      <c r="F656" s="46"/>
      <c r="G656" s="46"/>
      <c r="H656" s="46"/>
      <c r="I656" s="46"/>
      <c r="J656" s="46"/>
      <c r="K656" s="46"/>
    </row>
    <row r="657" spans="1:11">
      <c r="A657" s="45"/>
      <c r="B657" s="45"/>
      <c r="C657" s="45"/>
      <c r="D657" s="46"/>
      <c r="E657" s="46"/>
      <c r="F657" s="46"/>
      <c r="G657" s="46"/>
      <c r="H657" s="46"/>
      <c r="I657" s="46"/>
      <c r="J657" s="46"/>
      <c r="K657" s="46"/>
    </row>
    <row r="658" spans="1:11">
      <c r="A658" s="45"/>
      <c r="B658" s="45"/>
      <c r="C658" s="45"/>
      <c r="D658" s="46"/>
      <c r="E658" s="46"/>
      <c r="F658" s="46"/>
      <c r="G658" s="46"/>
      <c r="H658" s="46"/>
      <c r="I658" s="46"/>
      <c r="J658" s="46"/>
      <c r="K658" s="46"/>
    </row>
    <row r="659" spans="1:11">
      <c r="A659" s="45"/>
      <c r="B659" s="45"/>
      <c r="C659" s="45"/>
      <c r="D659" s="46"/>
      <c r="E659" s="46"/>
      <c r="F659" s="46"/>
      <c r="G659" s="46"/>
      <c r="H659" s="46"/>
      <c r="I659" s="46"/>
      <c r="J659" s="46"/>
      <c r="K659" s="46"/>
    </row>
    <row r="660" spans="1:11">
      <c r="A660" s="45"/>
      <c r="B660" s="45"/>
      <c r="C660" s="45"/>
      <c r="D660" s="46"/>
      <c r="E660" s="46"/>
      <c r="F660" s="46"/>
      <c r="G660" s="46"/>
      <c r="H660" s="46"/>
      <c r="I660" s="46"/>
      <c r="J660" s="46"/>
      <c r="K660" s="46"/>
    </row>
    <row r="661" spans="1:11">
      <c r="A661" s="45"/>
      <c r="B661" s="45"/>
      <c r="C661" s="45"/>
      <c r="D661" s="46"/>
      <c r="E661" s="46"/>
      <c r="F661" s="46"/>
      <c r="G661" s="46"/>
      <c r="H661" s="46"/>
      <c r="I661" s="46"/>
      <c r="J661" s="46"/>
      <c r="K661" s="46"/>
    </row>
    <row r="662" spans="1:11">
      <c r="A662" s="45"/>
      <c r="B662" s="45"/>
      <c r="C662" s="45"/>
      <c r="D662" s="46"/>
      <c r="E662" s="46"/>
      <c r="F662" s="46"/>
      <c r="G662" s="46"/>
      <c r="H662" s="46"/>
      <c r="I662" s="46"/>
      <c r="J662" s="46"/>
      <c r="K662" s="46"/>
    </row>
    <row r="663" spans="1:11">
      <c r="A663" s="45"/>
      <c r="B663" s="45"/>
      <c r="C663" s="45"/>
      <c r="D663" s="46"/>
      <c r="E663" s="46"/>
      <c r="F663" s="46"/>
      <c r="G663" s="46"/>
      <c r="H663" s="46"/>
      <c r="I663" s="46"/>
      <c r="J663" s="46"/>
      <c r="K663" s="46"/>
    </row>
    <row r="664" spans="1:11">
      <c r="A664" s="45"/>
      <c r="B664" s="45"/>
      <c r="C664" s="45"/>
      <c r="D664" s="46"/>
      <c r="E664" s="46"/>
      <c r="F664" s="46"/>
      <c r="G664" s="46"/>
      <c r="H664" s="46"/>
      <c r="I664" s="46"/>
      <c r="J664" s="46"/>
      <c r="K664" s="46"/>
    </row>
    <row r="665" spans="1:11">
      <c r="A665" s="45"/>
      <c r="B665" s="45"/>
      <c r="C665" s="45"/>
      <c r="D665" s="46"/>
      <c r="E665" s="46"/>
      <c r="F665" s="46"/>
      <c r="G665" s="46"/>
      <c r="H665" s="46"/>
      <c r="I665" s="46"/>
      <c r="J665" s="46"/>
      <c r="K665" s="46"/>
    </row>
    <row r="666" spans="1:11">
      <c r="A666" s="45"/>
      <c r="B666" s="45"/>
      <c r="C666" s="45"/>
      <c r="D666" s="46"/>
      <c r="E666" s="46"/>
      <c r="F666" s="46"/>
      <c r="G666" s="46"/>
      <c r="H666" s="46"/>
      <c r="I666" s="46"/>
      <c r="J666" s="46"/>
      <c r="K666" s="46"/>
    </row>
    <row r="667" spans="1:11">
      <c r="A667" s="45"/>
      <c r="B667" s="45"/>
      <c r="C667" s="45"/>
      <c r="D667" s="46"/>
      <c r="E667" s="46"/>
      <c r="F667" s="46"/>
      <c r="G667" s="46"/>
      <c r="H667" s="46"/>
      <c r="I667" s="46"/>
      <c r="J667" s="46"/>
      <c r="K667" s="46"/>
    </row>
    <row r="668" spans="1:11">
      <c r="A668" s="45"/>
      <c r="B668" s="45"/>
      <c r="C668" s="45"/>
      <c r="D668" s="46"/>
      <c r="E668" s="46"/>
      <c r="F668" s="46"/>
      <c r="G668" s="46"/>
      <c r="H668" s="46"/>
      <c r="I668" s="46"/>
      <c r="J668" s="46"/>
      <c r="K668" s="46"/>
    </row>
    <row r="669" spans="1:11">
      <c r="A669" s="45"/>
      <c r="B669" s="45"/>
      <c r="C669" s="45"/>
      <c r="D669" s="46"/>
      <c r="E669" s="46"/>
      <c r="F669" s="46"/>
      <c r="G669" s="46"/>
      <c r="H669" s="46"/>
      <c r="I669" s="46"/>
      <c r="J669" s="46"/>
      <c r="K669" s="46"/>
    </row>
    <row r="670" spans="1:11">
      <c r="A670" s="45"/>
      <c r="B670" s="45"/>
      <c r="C670" s="45"/>
      <c r="D670" s="46"/>
      <c r="E670" s="46"/>
      <c r="F670" s="46"/>
      <c r="G670" s="46"/>
      <c r="H670" s="46"/>
      <c r="I670" s="46"/>
      <c r="J670" s="46"/>
      <c r="K670" s="46"/>
    </row>
    <row r="671" spans="1:11">
      <c r="A671" s="45"/>
      <c r="B671" s="45"/>
      <c r="C671" s="45"/>
      <c r="D671" s="46"/>
      <c r="E671" s="46"/>
      <c r="F671" s="46"/>
      <c r="G671" s="46"/>
      <c r="H671" s="46"/>
      <c r="I671" s="46"/>
      <c r="J671" s="46"/>
      <c r="K671" s="46"/>
    </row>
    <row r="672" spans="1:11">
      <c r="A672" s="45"/>
      <c r="B672" s="45"/>
      <c r="C672" s="45"/>
      <c r="D672" s="46"/>
      <c r="E672" s="46"/>
      <c r="F672" s="46"/>
      <c r="G672" s="46"/>
      <c r="H672" s="46"/>
      <c r="I672" s="46"/>
      <c r="J672" s="46"/>
      <c r="K672" s="46"/>
    </row>
    <row r="673" spans="1:11">
      <c r="A673" s="45"/>
      <c r="B673" s="45"/>
      <c r="C673" s="45"/>
      <c r="D673" s="46"/>
      <c r="E673" s="46"/>
      <c r="F673" s="46"/>
      <c r="G673" s="46"/>
      <c r="H673" s="46"/>
      <c r="I673" s="46"/>
      <c r="J673" s="46"/>
      <c r="K673" s="46"/>
    </row>
    <row r="674" spans="1:11">
      <c r="A674" s="45"/>
      <c r="B674" s="45"/>
      <c r="C674" s="45"/>
      <c r="D674" s="46"/>
      <c r="E674" s="46"/>
      <c r="F674" s="46"/>
      <c r="G674" s="46"/>
      <c r="H674" s="46"/>
      <c r="I674" s="46"/>
      <c r="J674" s="46"/>
      <c r="K674" s="46"/>
    </row>
    <row r="675" spans="1:11">
      <c r="A675" s="45"/>
      <c r="B675" s="45"/>
      <c r="C675" s="45"/>
      <c r="D675" s="46"/>
      <c r="E675" s="46"/>
      <c r="F675" s="46"/>
      <c r="G675" s="46"/>
      <c r="H675" s="46"/>
      <c r="I675" s="46"/>
      <c r="J675" s="46"/>
      <c r="K675" s="46"/>
    </row>
    <row r="676" spans="1:11">
      <c r="A676" s="45"/>
      <c r="B676" s="45"/>
      <c r="C676" s="45"/>
      <c r="D676" s="46"/>
      <c r="E676" s="46"/>
      <c r="F676" s="46"/>
      <c r="G676" s="46"/>
      <c r="H676" s="46"/>
      <c r="I676" s="46"/>
      <c r="J676" s="46"/>
      <c r="K676" s="46"/>
    </row>
    <row r="677" spans="1:11">
      <c r="A677" s="45"/>
      <c r="B677" s="45"/>
      <c r="C677" s="45"/>
      <c r="D677" s="46"/>
      <c r="E677" s="46"/>
      <c r="F677" s="46"/>
      <c r="G677" s="46"/>
      <c r="H677" s="46"/>
      <c r="I677" s="46"/>
      <c r="J677" s="46"/>
      <c r="K677" s="46"/>
    </row>
    <row r="678" spans="1:11">
      <c r="A678" s="45"/>
      <c r="B678" s="45"/>
      <c r="C678" s="45"/>
      <c r="D678" s="46"/>
      <c r="E678" s="46"/>
      <c r="F678" s="46"/>
      <c r="G678" s="46"/>
      <c r="H678" s="46"/>
      <c r="I678" s="46"/>
      <c r="J678" s="46"/>
      <c r="K678" s="46"/>
    </row>
    <row r="679" spans="1:11">
      <c r="A679" s="45"/>
      <c r="B679" s="45"/>
      <c r="C679" s="45"/>
      <c r="D679" s="46"/>
      <c r="E679" s="46"/>
      <c r="F679" s="46"/>
      <c r="G679" s="46"/>
      <c r="H679" s="46"/>
      <c r="I679" s="46"/>
      <c r="J679" s="46"/>
      <c r="K679" s="46"/>
    </row>
    <row r="680" spans="1:11">
      <c r="A680" s="45"/>
      <c r="B680" s="45"/>
      <c r="C680" s="45"/>
      <c r="D680" s="46"/>
      <c r="E680" s="46"/>
      <c r="F680" s="46"/>
      <c r="G680" s="46"/>
      <c r="H680" s="46"/>
      <c r="I680" s="46"/>
      <c r="J680" s="46"/>
      <c r="K680" s="46"/>
    </row>
    <row r="681" spans="1:11">
      <c r="A681" s="45"/>
      <c r="B681" s="45"/>
      <c r="C681" s="45"/>
      <c r="D681" s="46"/>
      <c r="E681" s="46"/>
      <c r="F681" s="46"/>
      <c r="G681" s="46"/>
      <c r="H681" s="46"/>
      <c r="I681" s="46"/>
      <c r="J681" s="46"/>
      <c r="K681" s="46"/>
    </row>
    <row r="682" spans="1:11">
      <c r="A682" s="45"/>
      <c r="B682" s="45"/>
      <c r="C682" s="45"/>
      <c r="D682" s="46"/>
      <c r="E682" s="46"/>
      <c r="F682" s="46"/>
      <c r="G682" s="46"/>
      <c r="H682" s="46"/>
      <c r="I682" s="46"/>
      <c r="J682" s="46"/>
      <c r="K682" s="46"/>
    </row>
    <row r="683" spans="1:11">
      <c r="A683" s="45"/>
      <c r="B683" s="45"/>
      <c r="C683" s="45"/>
      <c r="D683" s="46"/>
      <c r="E683" s="46"/>
      <c r="F683" s="46"/>
      <c r="G683" s="46"/>
      <c r="H683" s="46"/>
      <c r="I683" s="46"/>
      <c r="J683" s="46"/>
      <c r="K683" s="46"/>
    </row>
    <row r="684" spans="1:11">
      <c r="A684" s="45"/>
      <c r="B684" s="45"/>
      <c r="C684" s="45"/>
      <c r="D684" s="46"/>
      <c r="E684" s="46"/>
      <c r="F684" s="46"/>
      <c r="G684" s="46"/>
      <c r="H684" s="46"/>
      <c r="I684" s="46"/>
      <c r="J684" s="46"/>
      <c r="K684" s="46"/>
    </row>
    <row r="685" spans="1:11">
      <c r="A685" s="45"/>
      <c r="B685" s="45"/>
      <c r="C685" s="45"/>
      <c r="D685" s="46"/>
      <c r="E685" s="46"/>
      <c r="F685" s="46"/>
      <c r="G685" s="46"/>
      <c r="H685" s="46"/>
      <c r="I685" s="46"/>
      <c r="J685" s="46"/>
      <c r="K685" s="46"/>
    </row>
    <row r="686" spans="1:11">
      <c r="A686" s="45"/>
      <c r="B686" s="45"/>
      <c r="C686" s="45"/>
      <c r="D686" s="46"/>
      <c r="E686" s="46"/>
      <c r="F686" s="46"/>
      <c r="G686" s="46"/>
      <c r="H686" s="46"/>
      <c r="I686" s="46"/>
      <c r="J686" s="46"/>
      <c r="K686" s="46"/>
    </row>
    <row r="687" spans="1:11">
      <c r="A687" s="45"/>
      <c r="B687" s="45"/>
      <c r="C687" s="45"/>
      <c r="D687" s="46"/>
      <c r="E687" s="46"/>
      <c r="F687" s="46"/>
      <c r="G687" s="46"/>
      <c r="H687" s="46"/>
      <c r="I687" s="46"/>
      <c r="J687" s="46"/>
      <c r="K687" s="46"/>
    </row>
    <row r="688" spans="1:11">
      <c r="A688" s="45"/>
      <c r="B688" s="45"/>
      <c r="C688" s="45"/>
      <c r="D688" s="46"/>
      <c r="E688" s="46"/>
      <c r="F688" s="46"/>
      <c r="G688" s="46"/>
      <c r="H688" s="46"/>
      <c r="I688" s="46"/>
      <c r="J688" s="46"/>
      <c r="K688" s="46"/>
    </row>
    <row r="689" spans="1:11">
      <c r="A689" s="45"/>
      <c r="B689" s="45"/>
      <c r="C689" s="45"/>
      <c r="D689" s="46"/>
      <c r="E689" s="46"/>
      <c r="F689" s="46"/>
      <c r="G689" s="46"/>
      <c r="H689" s="46"/>
      <c r="I689" s="46"/>
      <c r="J689" s="46"/>
      <c r="K689" s="46"/>
    </row>
    <row r="690" spans="1:11">
      <c r="A690" s="45"/>
      <c r="B690" s="45"/>
      <c r="C690" s="45"/>
      <c r="D690" s="46"/>
      <c r="E690" s="46"/>
      <c r="F690" s="46"/>
      <c r="G690" s="46"/>
      <c r="H690" s="46"/>
      <c r="I690" s="46"/>
      <c r="J690" s="46"/>
      <c r="K690" s="46"/>
    </row>
    <row r="691" spans="1:11">
      <c r="A691" s="45"/>
      <c r="B691" s="45"/>
      <c r="C691" s="45"/>
      <c r="D691" s="46"/>
      <c r="E691" s="46"/>
      <c r="F691" s="46"/>
      <c r="G691" s="46"/>
      <c r="H691" s="46"/>
      <c r="I691" s="46"/>
      <c r="J691" s="46"/>
      <c r="K691" s="46"/>
    </row>
    <row r="692" spans="1:11">
      <c r="A692" s="45"/>
      <c r="B692" s="45"/>
      <c r="C692" s="45"/>
      <c r="D692" s="46"/>
      <c r="E692" s="46"/>
      <c r="F692" s="46"/>
      <c r="G692" s="46"/>
      <c r="H692" s="46"/>
      <c r="I692" s="46"/>
      <c r="J692" s="46"/>
      <c r="K692" s="46"/>
    </row>
    <row r="693" spans="1:11">
      <c r="A693" s="45"/>
      <c r="B693" s="45"/>
      <c r="C693" s="45"/>
      <c r="D693" s="46"/>
      <c r="E693" s="46"/>
      <c r="F693" s="46"/>
      <c r="G693" s="46"/>
      <c r="H693" s="46"/>
      <c r="I693" s="46"/>
      <c r="J693" s="46"/>
      <c r="K693" s="46"/>
    </row>
    <row r="694" spans="1:11">
      <c r="A694" s="45"/>
      <c r="B694" s="45"/>
      <c r="C694" s="45"/>
      <c r="D694" s="46"/>
      <c r="E694" s="46"/>
      <c r="F694" s="46"/>
      <c r="G694" s="46"/>
      <c r="H694" s="46"/>
      <c r="I694" s="46"/>
      <c r="J694" s="46"/>
      <c r="K694" s="46"/>
    </row>
    <row r="695" spans="1:11">
      <c r="A695" s="45"/>
      <c r="B695" s="45"/>
      <c r="C695" s="45"/>
      <c r="D695" s="46"/>
      <c r="E695" s="46"/>
      <c r="F695" s="46"/>
      <c r="G695" s="46"/>
      <c r="H695" s="46"/>
      <c r="I695" s="46"/>
      <c r="J695" s="46"/>
      <c r="K695" s="46"/>
    </row>
    <row r="696" spans="1:11">
      <c r="A696" s="45"/>
      <c r="B696" s="45"/>
      <c r="C696" s="45"/>
      <c r="D696" s="46"/>
      <c r="E696" s="46"/>
      <c r="F696" s="46"/>
      <c r="G696" s="46"/>
      <c r="H696" s="46"/>
      <c r="I696" s="46"/>
      <c r="J696" s="46"/>
      <c r="K696" s="46"/>
    </row>
    <row r="697" spans="1:11">
      <c r="A697" s="45"/>
      <c r="B697" s="45"/>
      <c r="C697" s="45"/>
      <c r="D697" s="46"/>
      <c r="E697" s="46"/>
      <c r="F697" s="46"/>
      <c r="G697" s="46"/>
      <c r="H697" s="46"/>
      <c r="I697" s="46"/>
      <c r="J697" s="46"/>
      <c r="K697" s="46"/>
    </row>
    <row r="698" spans="1:11">
      <c r="A698" s="45"/>
      <c r="B698" s="45"/>
      <c r="C698" s="45"/>
      <c r="D698" s="46"/>
      <c r="E698" s="46"/>
      <c r="F698" s="46"/>
      <c r="G698" s="46"/>
      <c r="H698" s="46"/>
      <c r="I698" s="46"/>
      <c r="J698" s="46"/>
      <c r="K698" s="46"/>
    </row>
    <row r="699" spans="1:11">
      <c r="A699" s="45"/>
      <c r="B699" s="45"/>
      <c r="C699" s="45"/>
      <c r="D699" s="46"/>
      <c r="E699" s="46"/>
      <c r="F699" s="46"/>
      <c r="G699" s="46"/>
      <c r="H699" s="46"/>
      <c r="I699" s="46"/>
      <c r="J699" s="46"/>
      <c r="K699" s="46"/>
    </row>
    <row r="700" spans="1:11">
      <c r="A700" s="45"/>
      <c r="B700" s="45"/>
      <c r="C700" s="45"/>
      <c r="D700" s="46"/>
      <c r="E700" s="46"/>
      <c r="F700" s="46"/>
      <c r="G700" s="46"/>
      <c r="H700" s="46"/>
      <c r="I700" s="46"/>
      <c r="J700" s="46"/>
      <c r="K700" s="46"/>
    </row>
    <row r="701" spans="1:11">
      <c r="A701" s="45"/>
      <c r="B701" s="45"/>
      <c r="C701" s="45"/>
      <c r="D701" s="46"/>
      <c r="E701" s="46"/>
      <c r="F701" s="46"/>
      <c r="G701" s="46"/>
      <c r="H701" s="46"/>
      <c r="I701" s="46"/>
      <c r="J701" s="46"/>
      <c r="K701" s="46"/>
    </row>
    <row r="702" spans="1:11">
      <c r="A702" s="45"/>
      <c r="B702" s="45"/>
      <c r="C702" s="45"/>
      <c r="D702" s="46"/>
      <c r="E702" s="46"/>
      <c r="F702" s="46"/>
      <c r="G702" s="46"/>
      <c r="H702" s="46"/>
      <c r="I702" s="46"/>
      <c r="J702" s="46"/>
      <c r="K702" s="46"/>
    </row>
    <row r="703" spans="1:11">
      <c r="A703" s="45"/>
      <c r="B703" s="45"/>
      <c r="C703" s="45"/>
      <c r="D703" s="46"/>
      <c r="E703" s="46"/>
      <c r="F703" s="46"/>
      <c r="G703" s="46"/>
      <c r="H703" s="46"/>
      <c r="I703" s="46"/>
      <c r="J703" s="46"/>
      <c r="K703" s="46"/>
    </row>
    <row r="704" spans="1:11">
      <c r="A704" s="45"/>
      <c r="B704" s="45"/>
      <c r="C704" s="45"/>
      <c r="D704" s="46"/>
      <c r="E704" s="46"/>
      <c r="F704" s="46"/>
      <c r="G704" s="46"/>
      <c r="H704" s="46"/>
      <c r="I704" s="46"/>
      <c r="J704" s="46"/>
      <c r="K704" s="46"/>
    </row>
    <row r="705" spans="1:11">
      <c r="A705" s="45"/>
      <c r="B705" s="45"/>
      <c r="C705" s="45"/>
      <c r="D705" s="46"/>
      <c r="E705" s="46"/>
      <c r="F705" s="46"/>
      <c r="G705" s="46"/>
      <c r="H705" s="46"/>
      <c r="I705" s="46"/>
      <c r="J705" s="46"/>
      <c r="K705" s="46"/>
    </row>
    <row r="706" spans="1:11">
      <c r="A706" s="45"/>
      <c r="B706" s="45"/>
      <c r="C706" s="45"/>
      <c r="D706" s="46"/>
      <c r="E706" s="46"/>
      <c r="F706" s="46"/>
      <c r="G706" s="46"/>
      <c r="H706" s="46"/>
      <c r="I706" s="46"/>
      <c r="J706" s="46"/>
      <c r="K706" s="46"/>
    </row>
    <row r="707" spans="1:11">
      <c r="A707" s="45"/>
      <c r="B707" s="45"/>
      <c r="C707" s="45"/>
      <c r="D707" s="46"/>
      <c r="E707" s="46"/>
      <c r="F707" s="46"/>
      <c r="G707" s="46"/>
      <c r="H707" s="46"/>
      <c r="I707" s="46"/>
      <c r="J707" s="46"/>
      <c r="K707" s="46"/>
    </row>
    <row r="708" spans="1:11">
      <c r="A708" s="45"/>
      <c r="B708" s="45"/>
      <c r="C708" s="45"/>
      <c r="D708" s="46"/>
      <c r="E708" s="46"/>
      <c r="F708" s="46"/>
      <c r="G708" s="46"/>
      <c r="H708" s="46"/>
      <c r="I708" s="46"/>
      <c r="J708" s="46"/>
      <c r="K708" s="46"/>
    </row>
    <row r="709" spans="1:11">
      <c r="A709" s="45"/>
      <c r="B709" s="45"/>
      <c r="C709" s="45"/>
      <c r="D709" s="46"/>
      <c r="E709" s="46"/>
      <c r="F709" s="46"/>
      <c r="G709" s="46"/>
      <c r="H709" s="46"/>
      <c r="I709" s="46"/>
      <c r="J709" s="46"/>
      <c r="K709" s="46"/>
    </row>
    <row r="710" spans="1:11">
      <c r="A710" s="45"/>
      <c r="B710" s="45"/>
      <c r="C710" s="45"/>
      <c r="D710" s="46"/>
      <c r="E710" s="46"/>
      <c r="F710" s="46"/>
      <c r="G710" s="46"/>
      <c r="H710" s="46"/>
      <c r="I710" s="46"/>
      <c r="J710" s="46"/>
      <c r="K710" s="46"/>
    </row>
    <row r="711" spans="1:11">
      <c r="A711" s="45"/>
      <c r="B711" s="45"/>
      <c r="C711" s="45"/>
      <c r="D711" s="46"/>
      <c r="E711" s="46"/>
      <c r="F711" s="46"/>
      <c r="G711" s="46"/>
      <c r="H711" s="46"/>
      <c r="I711" s="46"/>
      <c r="J711" s="46"/>
      <c r="K711" s="46"/>
    </row>
    <row r="712" spans="1:11">
      <c r="A712" s="45"/>
      <c r="B712" s="45"/>
      <c r="C712" s="45"/>
      <c r="D712" s="46"/>
      <c r="E712" s="46"/>
      <c r="F712" s="46"/>
      <c r="G712" s="46"/>
      <c r="H712" s="46"/>
      <c r="I712" s="46"/>
      <c r="J712" s="46"/>
      <c r="K712" s="46"/>
    </row>
    <row r="713" spans="1:11">
      <c r="A713" s="45"/>
      <c r="B713" s="45"/>
      <c r="C713" s="45"/>
      <c r="D713" s="46"/>
      <c r="E713" s="46"/>
      <c r="F713" s="46"/>
      <c r="G713" s="46"/>
      <c r="H713" s="46"/>
      <c r="I713" s="46"/>
      <c r="J713" s="46"/>
      <c r="K713" s="46"/>
    </row>
    <row r="714" spans="1:11">
      <c r="A714" s="45"/>
      <c r="B714" s="45"/>
      <c r="C714" s="45"/>
      <c r="D714" s="46"/>
      <c r="E714" s="46"/>
      <c r="F714" s="46"/>
      <c r="G714" s="46"/>
      <c r="H714" s="46"/>
      <c r="I714" s="46"/>
      <c r="J714" s="46"/>
      <c r="K714" s="46"/>
    </row>
    <row r="715" spans="1:11">
      <c r="A715" s="45"/>
      <c r="B715" s="45"/>
      <c r="C715" s="45"/>
      <c r="D715" s="46"/>
      <c r="E715" s="46"/>
      <c r="F715" s="46"/>
      <c r="G715" s="46"/>
      <c r="H715" s="46"/>
      <c r="I715" s="46"/>
      <c r="J715" s="46"/>
      <c r="K715" s="46"/>
    </row>
    <row r="716" spans="1:11">
      <c r="A716" s="45"/>
      <c r="B716" s="45"/>
      <c r="C716" s="45"/>
      <c r="D716" s="46"/>
      <c r="E716" s="46"/>
      <c r="F716" s="46"/>
      <c r="G716" s="46"/>
      <c r="H716" s="46"/>
      <c r="I716" s="46"/>
      <c r="J716" s="46"/>
      <c r="K716" s="46"/>
    </row>
    <row r="717" spans="1:11">
      <c r="A717" s="45"/>
      <c r="B717" s="45"/>
      <c r="C717" s="45"/>
      <c r="D717" s="46"/>
      <c r="E717" s="46"/>
      <c r="F717" s="46"/>
      <c r="G717" s="46"/>
      <c r="H717" s="46"/>
      <c r="I717" s="46"/>
      <c r="J717" s="46"/>
      <c r="K717" s="46"/>
    </row>
    <row r="718" spans="1:11">
      <c r="A718" s="45"/>
      <c r="B718" s="45"/>
      <c r="C718" s="45"/>
      <c r="D718" s="46"/>
      <c r="E718" s="46"/>
      <c r="F718" s="46"/>
      <c r="G718" s="46"/>
      <c r="H718" s="46"/>
      <c r="I718" s="46"/>
      <c r="J718" s="46"/>
      <c r="K718" s="46"/>
    </row>
    <row r="719" spans="1:11">
      <c r="A719" s="45"/>
      <c r="B719" s="45"/>
      <c r="C719" s="45"/>
      <c r="D719" s="46"/>
      <c r="E719" s="46"/>
      <c r="F719" s="46"/>
      <c r="G719" s="46"/>
      <c r="H719" s="46"/>
      <c r="I719" s="46"/>
      <c r="J719" s="46"/>
      <c r="K719" s="46"/>
    </row>
    <row r="720" spans="1:11">
      <c r="A720" s="45"/>
      <c r="B720" s="45"/>
      <c r="C720" s="45"/>
      <c r="D720" s="46"/>
      <c r="E720" s="46"/>
      <c r="F720" s="46"/>
      <c r="G720" s="46"/>
      <c r="H720" s="46"/>
      <c r="I720" s="46"/>
      <c r="J720" s="46"/>
      <c r="K720" s="46"/>
    </row>
    <row r="721" spans="1:11">
      <c r="A721" s="45"/>
      <c r="B721" s="45"/>
      <c r="C721" s="45"/>
      <c r="D721" s="46"/>
      <c r="E721" s="46"/>
      <c r="F721" s="46"/>
      <c r="G721" s="46"/>
      <c r="H721" s="46"/>
      <c r="I721" s="46"/>
      <c r="J721" s="46"/>
      <c r="K721" s="46"/>
    </row>
    <row r="722" spans="1:11">
      <c r="A722" s="45"/>
      <c r="B722" s="45"/>
      <c r="C722" s="45"/>
      <c r="D722" s="46"/>
      <c r="E722" s="46"/>
      <c r="F722" s="46"/>
      <c r="G722" s="46"/>
      <c r="H722" s="46"/>
      <c r="I722" s="46"/>
      <c r="J722" s="46"/>
      <c r="K722" s="46"/>
    </row>
    <row r="723" spans="1:11">
      <c r="A723" s="45"/>
      <c r="B723" s="45"/>
      <c r="C723" s="45"/>
      <c r="D723" s="46"/>
      <c r="E723" s="46"/>
      <c r="F723" s="46"/>
      <c r="G723" s="46"/>
      <c r="H723" s="46"/>
      <c r="I723" s="46"/>
      <c r="J723" s="46"/>
      <c r="K723" s="46"/>
    </row>
    <row r="724" spans="1:11">
      <c r="A724" s="45"/>
      <c r="B724" s="45"/>
      <c r="C724" s="45"/>
      <c r="D724" s="46"/>
      <c r="E724" s="46"/>
      <c r="F724" s="46"/>
      <c r="G724" s="46"/>
      <c r="H724" s="46"/>
      <c r="I724" s="46"/>
      <c r="J724" s="46"/>
      <c r="K724" s="46"/>
    </row>
    <row r="725" spans="1:11">
      <c r="A725" s="45"/>
      <c r="B725" s="45"/>
      <c r="C725" s="45"/>
      <c r="D725" s="46"/>
      <c r="E725" s="46"/>
      <c r="F725" s="46"/>
      <c r="G725" s="46"/>
      <c r="H725" s="46"/>
      <c r="I725" s="46"/>
      <c r="J725" s="46"/>
      <c r="K725" s="46"/>
    </row>
    <row r="726" spans="1:11">
      <c r="A726" s="45"/>
      <c r="B726" s="45"/>
      <c r="C726" s="45"/>
      <c r="D726" s="46"/>
      <c r="E726" s="46"/>
      <c r="F726" s="46"/>
      <c r="G726" s="46"/>
      <c r="H726" s="46"/>
      <c r="I726" s="46"/>
      <c r="J726" s="46"/>
      <c r="K726" s="46"/>
    </row>
    <row r="727" spans="1:11">
      <c r="A727" s="45"/>
      <c r="B727" s="45"/>
      <c r="C727" s="45"/>
      <c r="D727" s="46"/>
      <c r="E727" s="46"/>
      <c r="F727" s="46"/>
      <c r="G727" s="46"/>
      <c r="H727" s="46"/>
      <c r="I727" s="46"/>
      <c r="J727" s="46"/>
      <c r="K727" s="46"/>
    </row>
    <row r="728" spans="1:11">
      <c r="A728" s="45"/>
      <c r="B728" s="45"/>
      <c r="C728" s="45"/>
      <c r="D728" s="46"/>
      <c r="E728" s="46"/>
      <c r="F728" s="46"/>
      <c r="G728" s="46"/>
      <c r="H728" s="46"/>
      <c r="I728" s="46"/>
      <c r="J728" s="46"/>
      <c r="K728" s="46"/>
    </row>
    <row r="729" spans="1:11">
      <c r="A729" s="45"/>
      <c r="B729" s="45"/>
      <c r="C729" s="45"/>
      <c r="D729" s="46"/>
      <c r="E729" s="46"/>
      <c r="F729" s="46"/>
      <c r="G729" s="46"/>
      <c r="H729" s="46"/>
      <c r="I729" s="46"/>
      <c r="J729" s="46"/>
      <c r="K729" s="46"/>
    </row>
    <row r="730" spans="1:11">
      <c r="A730" s="45"/>
      <c r="B730" s="45"/>
      <c r="C730" s="45"/>
      <c r="D730" s="46"/>
      <c r="E730" s="46"/>
      <c r="F730" s="46"/>
      <c r="G730" s="46"/>
      <c r="H730" s="46"/>
      <c r="I730" s="46"/>
      <c r="J730" s="46"/>
      <c r="K730" s="46"/>
    </row>
    <row r="731" spans="1:11">
      <c r="A731" s="45"/>
      <c r="B731" s="45"/>
      <c r="C731" s="45"/>
      <c r="D731" s="46"/>
      <c r="E731" s="46"/>
      <c r="F731" s="46"/>
      <c r="G731" s="46"/>
      <c r="H731" s="46"/>
      <c r="I731" s="46"/>
      <c r="J731" s="46"/>
      <c r="K731" s="46"/>
    </row>
    <row r="732" spans="1:11">
      <c r="A732" s="45"/>
      <c r="B732" s="45"/>
      <c r="C732" s="45"/>
      <c r="D732" s="46"/>
      <c r="E732" s="46"/>
      <c r="F732" s="46"/>
      <c r="G732" s="46"/>
      <c r="H732" s="46"/>
      <c r="I732" s="46"/>
      <c r="J732" s="46"/>
      <c r="K732" s="46"/>
    </row>
    <row r="733" spans="1:11">
      <c r="A733" s="45"/>
      <c r="B733" s="45"/>
      <c r="C733" s="45"/>
      <c r="D733" s="46"/>
      <c r="E733" s="46"/>
      <c r="F733" s="46"/>
      <c r="G733" s="46"/>
      <c r="H733" s="46"/>
      <c r="I733" s="46"/>
      <c r="J733" s="46"/>
      <c r="K733" s="46"/>
    </row>
    <row r="734" spans="1:11">
      <c r="A734" s="45"/>
      <c r="B734" s="45"/>
      <c r="C734" s="45"/>
      <c r="D734" s="46"/>
      <c r="E734" s="46"/>
      <c r="F734" s="46"/>
      <c r="G734" s="46"/>
      <c r="H734" s="46"/>
      <c r="I734" s="46"/>
      <c r="J734" s="46"/>
      <c r="K734" s="46"/>
    </row>
    <row r="735" spans="1:11">
      <c r="A735" s="45"/>
      <c r="B735" s="45"/>
      <c r="C735" s="45"/>
      <c r="D735" s="46"/>
      <c r="E735" s="46"/>
      <c r="F735" s="46"/>
      <c r="G735" s="46"/>
      <c r="H735" s="46"/>
      <c r="I735" s="46"/>
      <c r="J735" s="46"/>
      <c r="K735" s="46"/>
    </row>
    <row r="736" spans="1:11">
      <c r="A736" s="45"/>
      <c r="B736" s="45"/>
      <c r="C736" s="45"/>
      <c r="D736" s="46"/>
      <c r="E736" s="46"/>
      <c r="F736" s="46"/>
      <c r="G736" s="46"/>
      <c r="H736" s="46"/>
      <c r="I736" s="46"/>
      <c r="J736" s="46"/>
      <c r="K736" s="46"/>
    </row>
    <row r="737" spans="1:11">
      <c r="A737" s="45"/>
      <c r="B737" s="45"/>
      <c r="C737" s="45"/>
      <c r="D737" s="46"/>
      <c r="E737" s="46"/>
      <c r="F737" s="46"/>
      <c r="G737" s="46"/>
      <c r="H737" s="46"/>
      <c r="I737" s="46"/>
      <c r="J737" s="46"/>
      <c r="K737" s="46"/>
    </row>
    <row r="738" spans="1:11">
      <c r="A738" s="45"/>
      <c r="B738" s="45"/>
      <c r="C738" s="45"/>
      <c r="D738" s="46"/>
      <c r="E738" s="46"/>
      <c r="F738" s="46"/>
      <c r="G738" s="46"/>
      <c r="H738" s="46"/>
      <c r="I738" s="46"/>
      <c r="J738" s="46"/>
      <c r="K738" s="46"/>
    </row>
    <row r="739" spans="1:11">
      <c r="A739" s="45"/>
      <c r="B739" s="45"/>
      <c r="C739" s="45"/>
      <c r="D739" s="46"/>
      <c r="E739" s="46"/>
      <c r="F739" s="46"/>
      <c r="G739" s="46"/>
      <c r="H739" s="46"/>
      <c r="I739" s="46"/>
      <c r="J739" s="46"/>
      <c r="K739" s="46"/>
    </row>
    <row r="740" spans="1:11">
      <c r="A740" s="45"/>
      <c r="B740" s="45"/>
      <c r="C740" s="45"/>
      <c r="D740" s="46"/>
      <c r="E740" s="46"/>
      <c r="F740" s="46"/>
      <c r="G740" s="46"/>
      <c r="H740" s="46"/>
      <c r="I740" s="46"/>
      <c r="J740" s="46"/>
      <c r="K740" s="46"/>
    </row>
    <row r="741" spans="1:11">
      <c r="A741" s="45"/>
      <c r="B741" s="45"/>
      <c r="C741" s="45"/>
      <c r="D741" s="46"/>
      <c r="E741" s="46"/>
      <c r="F741" s="46"/>
      <c r="G741" s="46"/>
      <c r="H741" s="46"/>
      <c r="I741" s="46"/>
      <c r="J741" s="46"/>
      <c r="K741" s="46"/>
    </row>
    <row r="742" spans="1:11">
      <c r="A742" s="45"/>
      <c r="B742" s="45"/>
      <c r="C742" s="45"/>
      <c r="D742" s="46"/>
      <c r="E742" s="46"/>
      <c r="F742" s="46"/>
      <c r="G742" s="46"/>
      <c r="H742" s="46"/>
      <c r="I742" s="46"/>
      <c r="J742" s="46"/>
      <c r="K742" s="46"/>
    </row>
    <row r="743" spans="1:11">
      <c r="A743" s="45"/>
      <c r="B743" s="45"/>
      <c r="C743" s="45"/>
      <c r="D743" s="46"/>
      <c r="E743" s="46"/>
      <c r="F743" s="46"/>
      <c r="G743" s="46"/>
      <c r="H743" s="46"/>
      <c r="I743" s="46"/>
      <c r="J743" s="46"/>
      <c r="K743" s="46"/>
    </row>
    <row r="744" spans="1:11">
      <c r="A744" s="45"/>
      <c r="B744" s="45"/>
      <c r="C744" s="45"/>
      <c r="D744" s="46"/>
      <c r="E744" s="46"/>
      <c r="F744" s="46"/>
      <c r="G744" s="46"/>
      <c r="H744" s="46"/>
      <c r="I744" s="46"/>
      <c r="J744" s="46"/>
      <c r="K744" s="46"/>
    </row>
    <row r="745" spans="1:11">
      <c r="A745" s="45"/>
      <c r="B745" s="45"/>
      <c r="C745" s="45"/>
      <c r="D745" s="46"/>
      <c r="E745" s="46"/>
      <c r="F745" s="46"/>
      <c r="G745" s="46"/>
      <c r="H745" s="46"/>
      <c r="I745" s="46"/>
      <c r="J745" s="46"/>
      <c r="K745" s="46"/>
    </row>
    <row r="746" spans="1:11">
      <c r="A746" s="45"/>
      <c r="B746" s="45"/>
      <c r="C746" s="45"/>
      <c r="D746" s="46"/>
      <c r="E746" s="46"/>
      <c r="F746" s="46"/>
      <c r="G746" s="46"/>
      <c r="H746" s="46"/>
      <c r="I746" s="46"/>
      <c r="J746" s="46"/>
      <c r="K746" s="46"/>
    </row>
    <row r="747" spans="1:11">
      <c r="A747" s="45"/>
      <c r="B747" s="45"/>
      <c r="C747" s="45"/>
      <c r="D747" s="46"/>
      <c r="E747" s="46"/>
      <c r="F747" s="46"/>
      <c r="G747" s="46"/>
      <c r="H747" s="46"/>
      <c r="I747" s="46"/>
      <c r="J747" s="46"/>
      <c r="K747" s="46"/>
    </row>
    <row r="748" spans="1:11">
      <c r="A748" s="45"/>
      <c r="B748" s="45"/>
      <c r="C748" s="45"/>
      <c r="D748" s="46"/>
      <c r="E748" s="46"/>
      <c r="F748" s="46"/>
      <c r="G748" s="46"/>
      <c r="H748" s="46"/>
      <c r="I748" s="46"/>
      <c r="J748" s="46"/>
      <c r="K748" s="46"/>
    </row>
    <row r="749" spans="1:11">
      <c r="A749" s="45"/>
      <c r="B749" s="45"/>
      <c r="C749" s="45"/>
      <c r="D749" s="46"/>
      <c r="E749" s="46"/>
      <c r="F749" s="46"/>
      <c r="G749" s="46"/>
      <c r="H749" s="46"/>
      <c r="I749" s="46"/>
      <c r="J749" s="46"/>
      <c r="K749" s="46"/>
    </row>
    <row r="750" spans="1:11">
      <c r="A750" s="45"/>
      <c r="B750" s="45"/>
      <c r="C750" s="45"/>
      <c r="D750" s="46"/>
      <c r="E750" s="46"/>
      <c r="F750" s="46"/>
      <c r="G750" s="46"/>
      <c r="H750" s="46"/>
      <c r="I750" s="46"/>
      <c r="J750" s="46"/>
      <c r="K750" s="46"/>
    </row>
    <row r="751" spans="1:11">
      <c r="A751" s="45"/>
      <c r="B751" s="45"/>
      <c r="C751" s="45"/>
      <c r="D751" s="46"/>
      <c r="E751" s="46"/>
      <c r="F751" s="46"/>
      <c r="G751" s="46"/>
      <c r="H751" s="46"/>
      <c r="I751" s="46"/>
      <c r="J751" s="46"/>
      <c r="K751" s="46"/>
    </row>
    <row r="752" spans="1:11">
      <c r="A752" s="45"/>
      <c r="B752" s="45"/>
      <c r="C752" s="45"/>
      <c r="D752" s="46"/>
      <c r="E752" s="46"/>
      <c r="F752" s="46"/>
      <c r="G752" s="46"/>
      <c r="H752" s="46"/>
      <c r="I752" s="46"/>
      <c r="J752" s="46"/>
      <c r="K752" s="46"/>
    </row>
    <row r="753" spans="1:11">
      <c r="A753" s="45"/>
      <c r="B753" s="45"/>
      <c r="C753" s="45"/>
      <c r="D753" s="46"/>
      <c r="E753" s="46"/>
      <c r="F753" s="46"/>
      <c r="G753" s="46"/>
      <c r="H753" s="46"/>
      <c r="I753" s="46"/>
      <c r="J753" s="46"/>
      <c r="K753" s="46"/>
    </row>
    <row r="754" spans="1:11">
      <c r="A754" s="45"/>
      <c r="B754" s="45"/>
      <c r="C754" s="45"/>
      <c r="D754" s="46"/>
      <c r="E754" s="46"/>
      <c r="F754" s="46"/>
      <c r="G754" s="46"/>
      <c r="H754" s="46"/>
      <c r="I754" s="46"/>
      <c r="J754" s="46"/>
      <c r="K754" s="46"/>
    </row>
    <row r="755" spans="1:11">
      <c r="A755" s="45"/>
      <c r="B755" s="45"/>
      <c r="C755" s="45"/>
      <c r="D755" s="46"/>
      <c r="E755" s="46"/>
      <c r="F755" s="46"/>
      <c r="G755" s="46"/>
      <c r="H755" s="46"/>
      <c r="I755" s="46"/>
      <c r="J755" s="46"/>
      <c r="K755" s="46"/>
    </row>
    <row r="756" spans="1:11">
      <c r="A756" s="45"/>
      <c r="B756" s="45"/>
      <c r="C756" s="45"/>
      <c r="D756" s="46"/>
      <c r="E756" s="46"/>
      <c r="F756" s="46"/>
      <c r="G756" s="46"/>
      <c r="H756" s="46"/>
      <c r="I756" s="46"/>
      <c r="J756" s="46"/>
      <c r="K756" s="46"/>
    </row>
    <row r="757" spans="1:11">
      <c r="A757" s="45"/>
      <c r="B757" s="45"/>
      <c r="C757" s="45"/>
      <c r="D757" s="46"/>
      <c r="E757" s="46"/>
      <c r="F757" s="46"/>
      <c r="G757" s="46"/>
      <c r="H757" s="46"/>
      <c r="I757" s="46"/>
      <c r="J757" s="46"/>
      <c r="K757" s="46"/>
    </row>
    <row r="758" spans="1:11">
      <c r="A758" s="45"/>
      <c r="B758" s="45"/>
      <c r="C758" s="45"/>
      <c r="D758" s="46"/>
      <c r="E758" s="46"/>
      <c r="F758" s="46"/>
      <c r="G758" s="46"/>
      <c r="H758" s="46"/>
      <c r="I758" s="46"/>
      <c r="J758" s="46"/>
      <c r="K758" s="46"/>
    </row>
    <row r="759" spans="1:11">
      <c r="A759" s="45"/>
      <c r="B759" s="45"/>
      <c r="C759" s="45"/>
      <c r="D759" s="46"/>
      <c r="E759" s="46"/>
      <c r="F759" s="46"/>
      <c r="G759" s="46"/>
      <c r="H759" s="46"/>
      <c r="I759" s="46"/>
      <c r="J759" s="46"/>
      <c r="K759" s="46"/>
    </row>
    <row r="760" spans="1:11">
      <c r="A760" s="45"/>
      <c r="B760" s="45"/>
      <c r="C760" s="45"/>
      <c r="D760" s="46"/>
      <c r="E760" s="46"/>
      <c r="F760" s="46"/>
      <c r="G760" s="46"/>
      <c r="H760" s="46"/>
      <c r="I760" s="46"/>
      <c r="J760" s="46"/>
      <c r="K760" s="46"/>
    </row>
    <row r="761" spans="1:11">
      <c r="A761" s="45"/>
      <c r="B761" s="45"/>
      <c r="C761" s="45"/>
      <c r="D761" s="46"/>
      <c r="E761" s="46"/>
      <c r="F761" s="46"/>
      <c r="G761" s="46"/>
      <c r="H761" s="46"/>
      <c r="I761" s="46"/>
      <c r="J761" s="46"/>
      <c r="K761" s="46"/>
    </row>
    <row r="762" spans="1:11">
      <c r="A762" s="45"/>
      <c r="B762" s="45"/>
      <c r="C762" s="45"/>
      <c r="D762" s="46"/>
      <c r="E762" s="46"/>
      <c r="F762" s="46"/>
      <c r="G762" s="46"/>
      <c r="H762" s="46"/>
      <c r="I762" s="46"/>
      <c r="J762" s="46"/>
      <c r="K762" s="46"/>
    </row>
    <row r="763" spans="1:11">
      <c r="A763" s="45"/>
      <c r="B763" s="45"/>
      <c r="C763" s="45"/>
      <c r="D763" s="46"/>
      <c r="E763" s="46"/>
      <c r="F763" s="46"/>
      <c r="G763" s="46"/>
      <c r="H763" s="46"/>
      <c r="I763" s="46"/>
      <c r="J763" s="46"/>
      <c r="K763" s="46"/>
    </row>
    <row r="764" spans="1:11">
      <c r="A764" s="45"/>
      <c r="B764" s="45"/>
      <c r="C764" s="45"/>
      <c r="D764" s="46"/>
      <c r="E764" s="46"/>
      <c r="F764" s="46"/>
      <c r="G764" s="46"/>
      <c r="H764" s="46"/>
      <c r="I764" s="46"/>
      <c r="J764" s="46"/>
      <c r="K764" s="46"/>
    </row>
    <row r="765" spans="1:11">
      <c r="A765" s="45"/>
      <c r="B765" s="45"/>
      <c r="C765" s="45"/>
      <c r="D765" s="46"/>
      <c r="E765" s="46"/>
      <c r="F765" s="46"/>
      <c r="G765" s="46"/>
      <c r="H765" s="46"/>
      <c r="I765" s="46"/>
      <c r="J765" s="46"/>
      <c r="K765" s="46"/>
    </row>
    <row r="766" spans="1:11">
      <c r="A766" s="45"/>
      <c r="B766" s="45"/>
      <c r="C766" s="45"/>
      <c r="D766" s="46"/>
      <c r="E766" s="46"/>
      <c r="F766" s="46"/>
      <c r="G766" s="46"/>
      <c r="H766" s="46"/>
      <c r="I766" s="46"/>
      <c r="J766" s="46"/>
      <c r="K766" s="46"/>
    </row>
    <row r="767" spans="1:11">
      <c r="A767" s="45"/>
      <c r="B767" s="45"/>
      <c r="C767" s="45"/>
      <c r="D767" s="46"/>
      <c r="E767" s="46"/>
      <c r="F767" s="46"/>
      <c r="G767" s="46"/>
      <c r="H767" s="46"/>
      <c r="I767" s="46"/>
      <c r="J767" s="46"/>
      <c r="K767" s="46"/>
    </row>
    <row r="768" spans="1:11">
      <c r="A768" s="45"/>
      <c r="B768" s="45"/>
      <c r="C768" s="45"/>
      <c r="D768" s="46"/>
      <c r="E768" s="46"/>
      <c r="F768" s="46"/>
      <c r="G768" s="46"/>
      <c r="H768" s="46"/>
      <c r="I768" s="46"/>
      <c r="J768" s="46"/>
      <c r="K768" s="46"/>
    </row>
    <row r="769" spans="1:11">
      <c r="A769" s="45"/>
      <c r="B769" s="45"/>
      <c r="C769" s="45"/>
      <c r="D769" s="46"/>
      <c r="E769" s="46"/>
      <c r="F769" s="46"/>
      <c r="G769" s="46"/>
      <c r="H769" s="46"/>
      <c r="I769" s="46"/>
      <c r="J769" s="46"/>
      <c r="K769" s="46"/>
    </row>
    <row r="770" spans="1:11">
      <c r="A770" s="45"/>
      <c r="B770" s="45"/>
      <c r="C770" s="45"/>
      <c r="D770" s="46"/>
      <c r="E770" s="46"/>
      <c r="F770" s="46"/>
      <c r="G770" s="46"/>
      <c r="H770" s="46"/>
      <c r="I770" s="46"/>
      <c r="J770" s="46"/>
      <c r="K770" s="46"/>
    </row>
    <row r="771" spans="1:11">
      <c r="A771" s="45"/>
      <c r="B771" s="45"/>
      <c r="C771" s="45"/>
      <c r="D771" s="46"/>
      <c r="E771" s="46"/>
      <c r="F771" s="46"/>
      <c r="G771" s="46"/>
      <c r="H771" s="46"/>
      <c r="I771" s="46"/>
      <c r="J771" s="46"/>
      <c r="K771" s="46"/>
    </row>
    <row r="772" spans="1:11">
      <c r="A772" s="45"/>
      <c r="B772" s="45"/>
      <c r="C772" s="45"/>
      <c r="D772" s="46"/>
      <c r="E772" s="46"/>
      <c r="F772" s="46"/>
      <c r="G772" s="46"/>
      <c r="H772" s="46"/>
      <c r="I772" s="46"/>
      <c r="J772" s="46"/>
      <c r="K772" s="46"/>
    </row>
    <row r="773" spans="1:11">
      <c r="A773" s="45"/>
      <c r="B773" s="45"/>
      <c r="C773" s="45"/>
      <c r="D773" s="46"/>
      <c r="E773" s="46"/>
      <c r="F773" s="46"/>
      <c r="G773" s="46"/>
      <c r="H773" s="46"/>
      <c r="I773" s="46"/>
      <c r="J773" s="46"/>
      <c r="K773" s="46"/>
    </row>
    <row r="774" spans="1:11">
      <c r="A774" s="45"/>
      <c r="B774" s="45"/>
      <c r="C774" s="45"/>
      <c r="D774" s="46"/>
      <c r="E774" s="46"/>
      <c r="F774" s="46"/>
      <c r="G774" s="46"/>
      <c r="H774" s="46"/>
      <c r="I774" s="46"/>
      <c r="J774" s="46"/>
      <c r="K774" s="46"/>
    </row>
    <row r="775" spans="1:11">
      <c r="A775" s="45"/>
      <c r="B775" s="45"/>
      <c r="C775" s="45"/>
      <c r="D775" s="46"/>
      <c r="E775" s="46"/>
      <c r="F775" s="46"/>
      <c r="G775" s="46"/>
      <c r="H775" s="46"/>
      <c r="I775" s="46"/>
      <c r="J775" s="46"/>
      <c r="K775" s="46"/>
    </row>
    <row r="776" spans="1:11">
      <c r="A776" s="45"/>
      <c r="B776" s="45"/>
      <c r="C776" s="45"/>
      <c r="D776" s="46"/>
      <c r="E776" s="46"/>
      <c r="F776" s="46"/>
      <c r="G776" s="46"/>
      <c r="H776" s="46"/>
      <c r="I776" s="46"/>
      <c r="J776" s="46"/>
      <c r="K776" s="46"/>
    </row>
    <row r="777" spans="1:11">
      <c r="A777" s="45"/>
      <c r="B777" s="45"/>
      <c r="C777" s="45"/>
      <c r="D777" s="46"/>
      <c r="E777" s="46"/>
      <c r="F777" s="46"/>
      <c r="G777" s="46"/>
      <c r="H777" s="46"/>
      <c r="I777" s="46"/>
      <c r="J777" s="46"/>
      <c r="K777" s="46"/>
    </row>
    <row r="778" spans="1:11">
      <c r="A778" s="45"/>
      <c r="B778" s="45"/>
      <c r="C778" s="45"/>
      <c r="D778" s="46"/>
      <c r="E778" s="46"/>
      <c r="F778" s="46"/>
      <c r="G778" s="46"/>
      <c r="H778" s="46"/>
      <c r="I778" s="46"/>
      <c r="J778" s="46"/>
      <c r="K778" s="46"/>
    </row>
    <row r="779" spans="1:11">
      <c r="A779" s="45"/>
      <c r="B779" s="45"/>
      <c r="C779" s="45"/>
      <c r="D779" s="46"/>
      <c r="E779" s="46"/>
      <c r="F779" s="46"/>
      <c r="G779" s="46"/>
      <c r="H779" s="46"/>
      <c r="I779" s="46"/>
      <c r="J779" s="46"/>
      <c r="K779" s="46"/>
    </row>
    <row r="780" spans="1:11">
      <c r="A780" s="45"/>
      <c r="B780" s="45"/>
      <c r="C780" s="45"/>
      <c r="D780" s="46"/>
      <c r="E780" s="46"/>
      <c r="F780" s="46"/>
      <c r="G780" s="46"/>
      <c r="H780" s="46"/>
      <c r="I780" s="46"/>
      <c r="J780" s="46"/>
      <c r="K780" s="46"/>
    </row>
    <row r="781" spans="1:11">
      <c r="A781" s="45"/>
      <c r="B781" s="45"/>
      <c r="C781" s="45"/>
      <c r="D781" s="46"/>
      <c r="E781" s="46"/>
      <c r="F781" s="46"/>
      <c r="G781" s="46"/>
      <c r="H781" s="46"/>
      <c r="I781" s="46"/>
      <c r="J781" s="46"/>
      <c r="K781" s="46"/>
    </row>
    <row r="782" spans="1:11">
      <c r="A782" s="45"/>
      <c r="B782" s="45"/>
      <c r="C782" s="45"/>
      <c r="D782" s="46"/>
      <c r="E782" s="46"/>
      <c r="F782" s="46"/>
      <c r="G782" s="46"/>
      <c r="H782" s="46"/>
      <c r="I782" s="46"/>
      <c r="J782" s="46"/>
      <c r="K782" s="46"/>
    </row>
    <row r="783" spans="1:11">
      <c r="A783" s="45"/>
      <c r="B783" s="45"/>
      <c r="C783" s="45"/>
      <c r="D783" s="46"/>
      <c r="E783" s="46"/>
      <c r="F783" s="46"/>
      <c r="G783" s="46"/>
      <c r="H783" s="46"/>
      <c r="I783" s="46"/>
      <c r="J783" s="46"/>
      <c r="K783" s="46"/>
    </row>
    <row r="784" spans="1:11">
      <c r="A784" s="45"/>
      <c r="B784" s="45"/>
      <c r="C784" s="45"/>
      <c r="D784" s="46"/>
      <c r="E784" s="46"/>
      <c r="F784" s="46"/>
      <c r="G784" s="46"/>
      <c r="H784" s="46"/>
      <c r="I784" s="46"/>
      <c r="J784" s="46"/>
      <c r="K784" s="46"/>
    </row>
    <row r="785" spans="1:11">
      <c r="A785" s="45"/>
      <c r="B785" s="45"/>
      <c r="C785" s="45"/>
      <c r="D785" s="46"/>
      <c r="E785" s="46"/>
      <c r="F785" s="46"/>
      <c r="G785" s="46"/>
      <c r="H785" s="46"/>
      <c r="I785" s="46"/>
      <c r="J785" s="46"/>
      <c r="K785" s="46"/>
    </row>
    <row r="786" spans="1:11">
      <c r="A786" s="45"/>
      <c r="B786" s="45"/>
      <c r="C786" s="45"/>
      <c r="D786" s="46"/>
      <c r="E786" s="46"/>
      <c r="F786" s="46"/>
      <c r="G786" s="46"/>
      <c r="H786" s="46"/>
      <c r="I786" s="46"/>
      <c r="J786" s="46"/>
      <c r="K786" s="46"/>
    </row>
    <row r="787" spans="1:11">
      <c r="A787" s="45"/>
      <c r="B787" s="45"/>
      <c r="C787" s="45"/>
      <c r="D787" s="46"/>
      <c r="E787" s="46"/>
      <c r="F787" s="46"/>
      <c r="G787" s="46"/>
      <c r="H787" s="46"/>
      <c r="I787" s="46"/>
      <c r="J787" s="46"/>
      <c r="K787" s="46"/>
    </row>
    <row r="788" spans="1:11">
      <c r="A788" s="45"/>
      <c r="B788" s="45"/>
      <c r="C788" s="45"/>
      <c r="D788" s="46"/>
      <c r="E788" s="46"/>
      <c r="F788" s="46"/>
      <c r="G788" s="46"/>
      <c r="H788" s="46"/>
      <c r="I788" s="46"/>
      <c r="J788" s="46"/>
      <c r="K788" s="46"/>
    </row>
    <row r="789" spans="1:11">
      <c r="A789" s="45"/>
      <c r="B789" s="45"/>
      <c r="C789" s="45"/>
      <c r="D789" s="46"/>
      <c r="E789" s="46"/>
      <c r="F789" s="46"/>
      <c r="G789" s="46"/>
      <c r="H789" s="46"/>
      <c r="I789" s="46"/>
      <c r="J789" s="46"/>
      <c r="K789" s="46"/>
    </row>
    <row r="790" spans="1:11">
      <c r="A790" s="45"/>
      <c r="B790" s="45"/>
      <c r="C790" s="45"/>
      <c r="D790" s="46"/>
      <c r="E790" s="46"/>
      <c r="F790" s="46"/>
      <c r="G790" s="46"/>
      <c r="H790" s="46"/>
      <c r="I790" s="46"/>
      <c r="J790" s="46"/>
      <c r="K790" s="46"/>
    </row>
    <row r="791" spans="1:11">
      <c r="A791" s="45"/>
      <c r="B791" s="45"/>
      <c r="C791" s="45"/>
      <c r="D791" s="46"/>
      <c r="E791" s="46"/>
      <c r="F791" s="46"/>
      <c r="G791" s="46"/>
      <c r="H791" s="46"/>
      <c r="I791" s="46"/>
      <c r="J791" s="46"/>
      <c r="K791" s="46"/>
    </row>
    <row r="792" spans="1:11">
      <c r="A792" s="45"/>
      <c r="B792" s="45"/>
      <c r="C792" s="45"/>
      <c r="D792" s="46"/>
      <c r="E792" s="46"/>
      <c r="F792" s="46"/>
      <c r="G792" s="46"/>
      <c r="H792" s="46"/>
      <c r="I792" s="46"/>
      <c r="J792" s="46"/>
      <c r="K792" s="46"/>
    </row>
    <row r="793" spans="1:11">
      <c r="A793" s="45"/>
      <c r="B793" s="45"/>
      <c r="C793" s="45"/>
      <c r="D793" s="46"/>
      <c r="E793" s="46"/>
      <c r="F793" s="46"/>
      <c r="G793" s="46"/>
      <c r="H793" s="46"/>
      <c r="I793" s="46"/>
      <c r="J793" s="46"/>
      <c r="K793" s="46"/>
    </row>
    <row r="794" spans="1:11">
      <c r="A794" s="45"/>
      <c r="B794" s="45"/>
      <c r="C794" s="45"/>
      <c r="D794" s="46"/>
      <c r="E794" s="46"/>
      <c r="F794" s="46"/>
      <c r="G794" s="46"/>
      <c r="H794" s="46"/>
      <c r="I794" s="46"/>
      <c r="J794" s="46"/>
      <c r="K794" s="46"/>
    </row>
    <row r="795" spans="1:11">
      <c r="A795" s="45"/>
      <c r="B795" s="45"/>
      <c r="C795" s="45"/>
      <c r="D795" s="46"/>
      <c r="E795" s="46"/>
      <c r="F795" s="46"/>
      <c r="G795" s="46"/>
      <c r="H795" s="46"/>
      <c r="I795" s="46"/>
      <c r="J795" s="46"/>
      <c r="K795" s="46"/>
    </row>
    <row r="796" spans="1:11">
      <c r="A796" s="45"/>
      <c r="B796" s="45"/>
      <c r="C796" s="45"/>
      <c r="D796" s="46"/>
      <c r="E796" s="46"/>
      <c r="F796" s="46"/>
      <c r="G796" s="46"/>
      <c r="H796" s="46"/>
      <c r="I796" s="46"/>
      <c r="J796" s="46"/>
      <c r="K796" s="46"/>
    </row>
    <row r="797" spans="1:11">
      <c r="A797" s="45"/>
      <c r="B797" s="45"/>
      <c r="C797" s="45"/>
      <c r="D797" s="46"/>
      <c r="E797" s="46"/>
      <c r="F797" s="46"/>
      <c r="G797" s="46"/>
      <c r="H797" s="46"/>
      <c r="I797" s="46"/>
      <c r="J797" s="46"/>
      <c r="K797" s="46"/>
    </row>
    <row r="798" spans="1:11">
      <c r="A798" s="45"/>
      <c r="B798" s="45"/>
      <c r="C798" s="45"/>
      <c r="D798" s="46"/>
      <c r="E798" s="46"/>
      <c r="F798" s="46"/>
      <c r="G798" s="46"/>
      <c r="H798" s="46"/>
      <c r="I798" s="46"/>
      <c r="J798" s="46"/>
      <c r="K798" s="46"/>
    </row>
    <row r="799" spans="1:11">
      <c r="A799" s="45"/>
      <c r="B799" s="45"/>
      <c r="C799" s="45"/>
      <c r="D799" s="46"/>
      <c r="E799" s="46"/>
      <c r="F799" s="46"/>
      <c r="G799" s="46"/>
      <c r="H799" s="46"/>
      <c r="I799" s="46"/>
      <c r="J799" s="46"/>
      <c r="K799" s="46"/>
    </row>
    <row r="800" spans="1:11">
      <c r="A800" s="45"/>
      <c r="B800" s="45"/>
      <c r="C800" s="45"/>
      <c r="D800" s="46"/>
      <c r="E800" s="46"/>
      <c r="F800" s="46"/>
      <c r="G800" s="46"/>
      <c r="H800" s="46"/>
      <c r="I800" s="46"/>
      <c r="J800" s="46"/>
      <c r="K800" s="46"/>
    </row>
    <row r="801" spans="1:11">
      <c r="A801" s="45"/>
      <c r="B801" s="45"/>
      <c r="C801" s="45"/>
      <c r="D801" s="46"/>
      <c r="E801" s="46"/>
      <c r="F801" s="46"/>
      <c r="G801" s="46"/>
      <c r="H801" s="46"/>
      <c r="I801" s="46"/>
      <c r="J801" s="46"/>
      <c r="K801" s="46"/>
    </row>
    <row r="802" spans="1:11">
      <c r="A802" s="45"/>
      <c r="B802" s="45"/>
      <c r="C802" s="45"/>
      <c r="D802" s="46"/>
      <c r="E802" s="46"/>
      <c r="F802" s="46"/>
      <c r="G802" s="46"/>
      <c r="H802" s="46"/>
      <c r="I802" s="46"/>
      <c r="J802" s="46"/>
      <c r="K802" s="46"/>
    </row>
    <row r="803" spans="1:11">
      <c r="A803" s="45"/>
      <c r="B803" s="45"/>
      <c r="C803" s="45"/>
      <c r="D803" s="46"/>
      <c r="E803" s="46"/>
      <c r="F803" s="46"/>
      <c r="G803" s="46"/>
      <c r="H803" s="46"/>
      <c r="I803" s="46"/>
      <c r="J803" s="46"/>
      <c r="K803" s="46"/>
    </row>
    <row r="804" spans="1:11">
      <c r="A804" s="45"/>
      <c r="B804" s="45"/>
      <c r="C804" s="45"/>
      <c r="D804" s="46"/>
      <c r="E804" s="46"/>
      <c r="F804" s="46"/>
      <c r="G804" s="46"/>
      <c r="H804" s="46"/>
      <c r="I804" s="46"/>
      <c r="J804" s="46"/>
      <c r="K804" s="46"/>
    </row>
    <row r="805" spans="1:11">
      <c r="A805" s="45"/>
      <c r="B805" s="45"/>
      <c r="C805" s="45"/>
      <c r="D805" s="46"/>
      <c r="E805" s="46"/>
      <c r="F805" s="46"/>
      <c r="G805" s="46"/>
      <c r="H805" s="46"/>
      <c r="I805" s="46"/>
      <c r="J805" s="46"/>
      <c r="K805" s="46"/>
    </row>
    <row r="806" spans="1:11">
      <c r="A806" s="45"/>
      <c r="B806" s="45"/>
      <c r="C806" s="45"/>
      <c r="D806" s="46"/>
      <c r="E806" s="46"/>
      <c r="F806" s="46"/>
      <c r="G806" s="46"/>
      <c r="H806" s="46"/>
      <c r="I806" s="46"/>
      <c r="J806" s="46"/>
      <c r="K806" s="46"/>
    </row>
    <row r="807" spans="1:11">
      <c r="A807" s="45"/>
      <c r="B807" s="45"/>
      <c r="C807" s="45"/>
      <c r="D807" s="46"/>
      <c r="E807" s="46"/>
      <c r="F807" s="46"/>
      <c r="G807" s="46"/>
      <c r="H807" s="46"/>
      <c r="I807" s="46"/>
      <c r="J807" s="46"/>
      <c r="K807" s="46"/>
    </row>
    <row r="808" spans="1:11">
      <c r="A808" s="45"/>
      <c r="B808" s="45"/>
      <c r="C808" s="45"/>
      <c r="D808" s="46"/>
      <c r="E808" s="46"/>
      <c r="F808" s="46"/>
      <c r="G808" s="46"/>
      <c r="H808" s="46"/>
      <c r="I808" s="46"/>
      <c r="J808" s="46"/>
      <c r="K808" s="46"/>
    </row>
    <row r="809" spans="1:11">
      <c r="A809" s="45"/>
      <c r="B809" s="45"/>
      <c r="C809" s="45"/>
      <c r="D809" s="46"/>
      <c r="E809" s="46"/>
      <c r="F809" s="46"/>
      <c r="G809" s="46"/>
      <c r="H809" s="46"/>
      <c r="I809" s="46"/>
      <c r="J809" s="46"/>
      <c r="K809" s="46"/>
    </row>
    <row r="810" spans="1:11">
      <c r="A810" s="45"/>
      <c r="B810" s="45"/>
      <c r="C810" s="45"/>
      <c r="D810" s="46"/>
      <c r="E810" s="46"/>
      <c r="F810" s="46"/>
      <c r="G810" s="46"/>
      <c r="H810" s="46"/>
      <c r="I810" s="46"/>
      <c r="J810" s="46"/>
      <c r="K810" s="46"/>
    </row>
    <row r="811" spans="1:11">
      <c r="A811" s="45"/>
      <c r="B811" s="45"/>
      <c r="C811" s="45"/>
      <c r="D811" s="46"/>
      <c r="E811" s="46"/>
      <c r="F811" s="46"/>
      <c r="G811" s="46"/>
      <c r="H811" s="46"/>
      <c r="I811" s="46"/>
      <c r="J811" s="46"/>
      <c r="K811" s="46"/>
    </row>
    <row r="812" spans="1:11">
      <c r="A812" s="45"/>
      <c r="B812" s="45"/>
      <c r="C812" s="45"/>
      <c r="D812" s="46"/>
      <c r="E812" s="46"/>
      <c r="F812" s="46"/>
      <c r="G812" s="46"/>
      <c r="H812" s="46"/>
      <c r="I812" s="46"/>
      <c r="J812" s="46"/>
      <c r="K812" s="46"/>
    </row>
    <row r="813" spans="1:11">
      <c r="A813" s="45"/>
      <c r="B813" s="45"/>
      <c r="C813" s="45"/>
      <c r="D813" s="46"/>
      <c r="E813" s="46"/>
      <c r="F813" s="46"/>
      <c r="G813" s="46"/>
      <c r="H813" s="46"/>
      <c r="I813" s="46"/>
      <c r="J813" s="46"/>
      <c r="K813" s="46"/>
    </row>
    <row r="814" spans="1:11">
      <c r="A814" s="45"/>
      <c r="B814" s="45"/>
      <c r="C814" s="45"/>
      <c r="D814" s="46"/>
      <c r="E814" s="46"/>
      <c r="F814" s="46"/>
      <c r="G814" s="46"/>
      <c r="H814" s="46"/>
      <c r="I814" s="46"/>
      <c r="J814" s="46"/>
      <c r="K814" s="46"/>
    </row>
    <row r="815" spans="1:11">
      <c r="A815" s="45"/>
      <c r="B815" s="45"/>
      <c r="C815" s="45"/>
      <c r="D815" s="46"/>
      <c r="E815" s="46"/>
      <c r="F815" s="46"/>
      <c r="G815" s="46"/>
      <c r="H815" s="46"/>
      <c r="I815" s="46"/>
      <c r="J815" s="46"/>
      <c r="K815" s="46"/>
    </row>
    <row r="816" spans="1:11">
      <c r="A816" s="45"/>
      <c r="B816" s="45"/>
      <c r="C816" s="45"/>
      <c r="D816" s="46"/>
      <c r="E816" s="46"/>
      <c r="F816" s="46"/>
      <c r="G816" s="46"/>
      <c r="H816" s="46"/>
      <c r="I816" s="46"/>
      <c r="J816" s="46"/>
      <c r="K816" s="46"/>
    </row>
    <row r="817" spans="1:11">
      <c r="A817" s="45"/>
      <c r="B817" s="45"/>
      <c r="C817" s="45"/>
      <c r="D817" s="46"/>
      <c r="E817" s="46"/>
      <c r="F817" s="46"/>
      <c r="G817" s="46"/>
      <c r="H817" s="46"/>
      <c r="I817" s="46"/>
      <c r="J817" s="46"/>
      <c r="K817" s="46"/>
    </row>
    <row r="818" spans="1:11">
      <c r="A818" s="45"/>
      <c r="B818" s="45"/>
      <c r="C818" s="45"/>
      <c r="D818" s="46"/>
      <c r="E818" s="46"/>
      <c r="F818" s="46"/>
      <c r="G818" s="46"/>
      <c r="H818" s="46"/>
      <c r="I818" s="46"/>
      <c r="J818" s="46"/>
      <c r="K818" s="46"/>
    </row>
    <row r="819" spans="1:11">
      <c r="A819" s="45"/>
      <c r="B819" s="45"/>
      <c r="C819" s="45"/>
      <c r="D819" s="46"/>
      <c r="E819" s="46"/>
      <c r="F819" s="46"/>
      <c r="G819" s="46"/>
      <c r="H819" s="46"/>
      <c r="I819" s="46"/>
      <c r="J819" s="46"/>
      <c r="K819" s="46"/>
    </row>
    <row r="820" spans="1:11">
      <c r="A820" s="45"/>
      <c r="B820" s="45"/>
      <c r="C820" s="45"/>
      <c r="D820" s="46"/>
      <c r="E820" s="46"/>
      <c r="F820" s="46"/>
      <c r="G820" s="46"/>
      <c r="H820" s="46"/>
      <c r="I820" s="46"/>
      <c r="J820" s="46"/>
      <c r="K820" s="46"/>
    </row>
    <row r="821" spans="1:11">
      <c r="A821" s="45"/>
      <c r="B821" s="45"/>
      <c r="C821" s="45"/>
      <c r="D821" s="46"/>
      <c r="E821" s="46"/>
      <c r="F821" s="46"/>
      <c r="G821" s="46"/>
      <c r="H821" s="46"/>
      <c r="I821" s="46"/>
      <c r="J821" s="46"/>
      <c r="K821" s="46"/>
    </row>
    <row r="822" spans="1:11">
      <c r="A822" s="45"/>
      <c r="B822" s="45"/>
      <c r="C822" s="45"/>
      <c r="D822" s="46"/>
      <c r="E822" s="46"/>
      <c r="F822" s="46"/>
      <c r="G822" s="46"/>
      <c r="H822" s="46"/>
      <c r="I822" s="46"/>
      <c r="J822" s="46"/>
      <c r="K822" s="46"/>
    </row>
    <row r="823" spans="1:11">
      <c r="A823" s="45"/>
      <c r="B823" s="45"/>
      <c r="C823" s="45"/>
      <c r="D823" s="46"/>
      <c r="E823" s="46"/>
      <c r="F823" s="46"/>
      <c r="G823" s="46"/>
      <c r="H823" s="46"/>
      <c r="I823" s="46"/>
      <c r="J823" s="46"/>
      <c r="K823" s="46"/>
    </row>
    <row r="824" spans="1:11">
      <c r="A824" s="45"/>
      <c r="B824" s="45"/>
      <c r="C824" s="45"/>
      <c r="D824" s="46"/>
      <c r="E824" s="46"/>
      <c r="F824" s="46"/>
      <c r="G824" s="46"/>
      <c r="H824" s="46"/>
      <c r="I824" s="46"/>
      <c r="J824" s="46"/>
      <c r="K824" s="46"/>
    </row>
    <row r="825" spans="1:11">
      <c r="A825" s="45"/>
      <c r="B825" s="45"/>
      <c r="C825" s="45"/>
      <c r="D825" s="46"/>
      <c r="E825" s="46"/>
      <c r="F825" s="46"/>
      <c r="G825" s="46"/>
      <c r="H825" s="46"/>
      <c r="I825" s="46"/>
      <c r="J825" s="46"/>
      <c r="K825" s="46"/>
    </row>
    <row r="826" spans="1:11">
      <c r="A826" s="45"/>
      <c r="B826" s="45"/>
      <c r="C826" s="45"/>
      <c r="D826" s="46"/>
      <c r="E826" s="46"/>
      <c r="F826" s="46"/>
      <c r="G826" s="46"/>
      <c r="H826" s="46"/>
      <c r="I826" s="46"/>
      <c r="J826" s="46"/>
      <c r="K826" s="46"/>
    </row>
    <row r="827" spans="1:11">
      <c r="A827" s="45"/>
      <c r="B827" s="45"/>
      <c r="C827" s="45"/>
      <c r="D827" s="46"/>
      <c r="E827" s="46"/>
      <c r="F827" s="46"/>
      <c r="G827" s="46"/>
      <c r="H827" s="46"/>
      <c r="I827" s="46"/>
      <c r="J827" s="46"/>
      <c r="K827" s="46"/>
    </row>
    <row r="828" spans="1:11">
      <c r="A828" s="45"/>
      <c r="B828" s="45"/>
      <c r="C828" s="45"/>
      <c r="D828" s="46"/>
      <c r="E828" s="46"/>
      <c r="F828" s="46"/>
      <c r="G828" s="46"/>
      <c r="H828" s="46"/>
      <c r="I828" s="46"/>
      <c r="J828" s="46"/>
      <c r="K828" s="46"/>
    </row>
    <row r="829" spans="1:11">
      <c r="A829" s="45"/>
      <c r="B829" s="45"/>
      <c r="C829" s="45"/>
      <c r="D829" s="46"/>
      <c r="E829" s="46"/>
      <c r="F829" s="46"/>
      <c r="G829" s="46"/>
      <c r="H829" s="46"/>
      <c r="I829" s="46"/>
      <c r="J829" s="46"/>
      <c r="K829" s="46"/>
    </row>
    <row r="830" spans="1:11">
      <c r="A830" s="45"/>
      <c r="B830" s="45"/>
      <c r="C830" s="45"/>
      <c r="D830" s="46"/>
      <c r="E830" s="46"/>
      <c r="F830" s="46"/>
      <c r="G830" s="46"/>
      <c r="H830" s="46"/>
      <c r="I830" s="46"/>
      <c r="J830" s="46"/>
      <c r="K830" s="46"/>
    </row>
    <row r="831" spans="1:11">
      <c r="A831" s="45"/>
      <c r="B831" s="45"/>
      <c r="C831" s="45"/>
      <c r="D831" s="46"/>
      <c r="E831" s="46"/>
      <c r="F831" s="46"/>
      <c r="G831" s="46"/>
      <c r="H831" s="46"/>
      <c r="I831" s="46"/>
      <c r="J831" s="46"/>
      <c r="K831" s="46"/>
    </row>
    <row r="832" spans="1:11">
      <c r="A832" s="45"/>
      <c r="B832" s="45"/>
      <c r="C832" s="45"/>
      <c r="D832" s="46"/>
      <c r="E832" s="46"/>
      <c r="F832" s="46"/>
      <c r="G832" s="46"/>
      <c r="H832" s="46"/>
      <c r="I832" s="46"/>
      <c r="J832" s="46"/>
      <c r="K832" s="46"/>
    </row>
    <row r="833" spans="1:11">
      <c r="A833" s="45"/>
      <c r="B833" s="45"/>
      <c r="C833" s="45"/>
      <c r="D833" s="46"/>
      <c r="E833" s="46"/>
      <c r="F833" s="46"/>
      <c r="G833" s="46"/>
      <c r="H833" s="46"/>
      <c r="I833" s="46"/>
      <c r="J833" s="46"/>
      <c r="K833" s="46"/>
    </row>
    <row r="834" spans="1:11">
      <c r="A834" s="45"/>
      <c r="B834" s="45"/>
      <c r="C834" s="45"/>
      <c r="D834" s="46"/>
      <c r="E834" s="46"/>
      <c r="F834" s="46"/>
      <c r="G834" s="46"/>
      <c r="H834" s="46"/>
      <c r="I834" s="46"/>
      <c r="J834" s="46"/>
      <c r="K834" s="46"/>
    </row>
    <row r="835" spans="1:11">
      <c r="A835" s="45"/>
      <c r="B835" s="45"/>
      <c r="C835" s="45"/>
      <c r="D835" s="46"/>
      <c r="E835" s="46"/>
      <c r="F835" s="46"/>
      <c r="G835" s="46"/>
      <c r="H835" s="46"/>
      <c r="I835" s="46"/>
      <c r="J835" s="46"/>
      <c r="K835" s="46"/>
    </row>
    <row r="836" spans="1:11">
      <c r="A836" s="45"/>
      <c r="B836" s="45"/>
      <c r="C836" s="45"/>
      <c r="D836" s="46"/>
      <c r="E836" s="46"/>
      <c r="F836" s="46"/>
      <c r="G836" s="46"/>
      <c r="H836" s="46"/>
      <c r="I836" s="46"/>
      <c r="J836" s="46"/>
      <c r="K836" s="46"/>
    </row>
    <row r="837" spans="1:11">
      <c r="A837" s="45"/>
      <c r="B837" s="45"/>
      <c r="C837" s="45"/>
      <c r="D837" s="46"/>
      <c r="E837" s="46"/>
      <c r="F837" s="46"/>
      <c r="G837" s="46"/>
      <c r="H837" s="46"/>
      <c r="I837" s="46"/>
      <c r="J837" s="46"/>
      <c r="K837" s="46"/>
    </row>
    <row r="838" spans="1:11">
      <c r="A838" s="45"/>
      <c r="B838" s="45"/>
      <c r="C838" s="45"/>
      <c r="D838" s="46"/>
      <c r="E838" s="46"/>
      <c r="F838" s="46"/>
      <c r="G838" s="46"/>
      <c r="H838" s="46"/>
      <c r="I838" s="46"/>
      <c r="J838" s="46"/>
      <c r="K838" s="46"/>
    </row>
    <row r="839" spans="1:11">
      <c r="A839" s="45"/>
      <c r="B839" s="45"/>
      <c r="C839" s="45"/>
      <c r="D839" s="46"/>
      <c r="E839" s="46"/>
      <c r="F839" s="46"/>
      <c r="G839" s="46"/>
      <c r="H839" s="46"/>
      <c r="I839" s="46"/>
      <c r="J839" s="46"/>
      <c r="K839" s="46"/>
    </row>
    <row r="840" spans="1:11">
      <c r="A840" s="45"/>
      <c r="B840" s="45"/>
      <c r="C840" s="45"/>
      <c r="D840" s="46"/>
      <c r="E840" s="46"/>
      <c r="F840" s="46"/>
      <c r="G840" s="46"/>
      <c r="H840" s="46"/>
      <c r="I840" s="46"/>
      <c r="J840" s="46"/>
      <c r="K840" s="46"/>
    </row>
    <row r="841" spans="1:11">
      <c r="A841" s="45"/>
      <c r="B841" s="45"/>
      <c r="C841" s="45"/>
      <c r="D841" s="46"/>
      <c r="E841" s="46"/>
      <c r="F841" s="46"/>
      <c r="G841" s="46"/>
      <c r="H841" s="46"/>
      <c r="I841" s="46"/>
      <c r="J841" s="46"/>
      <c r="K841" s="46"/>
    </row>
    <row r="842" spans="1:11">
      <c r="A842" s="45"/>
      <c r="B842" s="45"/>
      <c r="C842" s="45"/>
      <c r="D842" s="46"/>
      <c r="E842" s="46"/>
      <c r="F842" s="46"/>
      <c r="G842" s="46"/>
      <c r="H842" s="46"/>
      <c r="I842" s="46"/>
      <c r="J842" s="46"/>
      <c r="K842" s="46"/>
    </row>
    <row r="843" spans="1:11">
      <c r="A843" s="45"/>
      <c r="B843" s="45"/>
      <c r="C843" s="45"/>
      <c r="D843" s="46"/>
      <c r="E843" s="46"/>
      <c r="F843" s="46"/>
      <c r="G843" s="46"/>
      <c r="H843" s="46"/>
      <c r="I843" s="46"/>
      <c r="J843" s="46"/>
      <c r="K843" s="46"/>
    </row>
    <row r="844" spans="1:11">
      <c r="A844" s="45"/>
      <c r="B844" s="45"/>
      <c r="C844" s="45"/>
      <c r="D844" s="46"/>
      <c r="E844" s="46"/>
      <c r="F844" s="46"/>
      <c r="G844" s="46"/>
      <c r="H844" s="46"/>
      <c r="I844" s="46"/>
      <c r="J844" s="46"/>
      <c r="K844" s="46"/>
    </row>
    <row r="845" spans="1:11">
      <c r="A845" s="45"/>
      <c r="B845" s="45"/>
      <c r="C845" s="45"/>
      <c r="D845" s="46"/>
      <c r="E845" s="46"/>
      <c r="F845" s="46"/>
      <c r="G845" s="46"/>
      <c r="H845" s="46"/>
      <c r="I845" s="46"/>
      <c r="J845" s="46"/>
      <c r="K845" s="46"/>
    </row>
    <row r="846" spans="1:11">
      <c r="A846" s="45"/>
      <c r="B846" s="45"/>
      <c r="C846" s="45"/>
      <c r="D846" s="46"/>
      <c r="E846" s="46"/>
      <c r="F846" s="46"/>
      <c r="G846" s="46"/>
      <c r="H846" s="46"/>
      <c r="I846" s="46"/>
      <c r="J846" s="46"/>
      <c r="K846" s="46"/>
    </row>
    <row r="847" spans="1:11">
      <c r="A847" s="45"/>
      <c r="B847" s="45"/>
      <c r="C847" s="45"/>
      <c r="D847" s="46"/>
      <c r="E847" s="46"/>
      <c r="F847" s="46"/>
      <c r="G847" s="46"/>
      <c r="H847" s="46"/>
      <c r="I847" s="46"/>
      <c r="J847" s="46"/>
      <c r="K847" s="46"/>
    </row>
    <row r="848" spans="1:11">
      <c r="A848" s="45"/>
      <c r="B848" s="45"/>
      <c r="C848" s="45"/>
      <c r="D848" s="46"/>
      <c r="E848" s="46"/>
      <c r="F848" s="46"/>
      <c r="G848" s="46"/>
      <c r="H848" s="46"/>
      <c r="I848" s="46"/>
      <c r="J848" s="46"/>
      <c r="K848" s="46"/>
    </row>
    <row r="849" spans="1:11">
      <c r="A849" s="45"/>
      <c r="B849" s="45"/>
      <c r="C849" s="45"/>
      <c r="D849" s="46"/>
      <c r="E849" s="46"/>
      <c r="F849" s="46"/>
      <c r="G849" s="46"/>
      <c r="H849" s="46"/>
      <c r="I849" s="46"/>
      <c r="J849" s="46"/>
      <c r="K849" s="46"/>
    </row>
    <row r="850" spans="1:11">
      <c r="A850" s="45"/>
      <c r="B850" s="45"/>
      <c r="C850" s="45"/>
      <c r="D850" s="46"/>
      <c r="E850" s="46"/>
      <c r="F850" s="46"/>
      <c r="G850" s="46"/>
      <c r="H850" s="46"/>
      <c r="I850" s="46"/>
      <c r="J850" s="46"/>
      <c r="K850" s="46"/>
    </row>
    <row r="851" spans="1:11">
      <c r="A851" s="45"/>
      <c r="B851" s="45"/>
      <c r="C851" s="45"/>
      <c r="D851" s="46"/>
      <c r="E851" s="46"/>
      <c r="F851" s="46"/>
      <c r="G851" s="46"/>
      <c r="H851" s="46"/>
      <c r="I851" s="46"/>
      <c r="J851" s="46"/>
      <c r="K851" s="46"/>
    </row>
    <row r="852" spans="1:11">
      <c r="A852" s="45"/>
      <c r="B852" s="45"/>
      <c r="C852" s="45"/>
      <c r="D852" s="46"/>
      <c r="E852" s="46"/>
      <c r="F852" s="46"/>
      <c r="G852" s="46"/>
      <c r="H852" s="46"/>
      <c r="I852" s="46"/>
      <c r="J852" s="46"/>
      <c r="K852" s="46"/>
    </row>
    <row r="853" spans="1:11">
      <c r="A853" s="45"/>
      <c r="B853" s="45"/>
      <c r="C853" s="45"/>
      <c r="D853" s="46"/>
      <c r="E853" s="46"/>
      <c r="F853" s="46"/>
      <c r="G853" s="46"/>
      <c r="H853" s="46"/>
      <c r="I853" s="46"/>
      <c r="J853" s="46"/>
      <c r="K853" s="46"/>
    </row>
    <row r="854" spans="1:11">
      <c r="A854" s="45"/>
      <c r="B854" s="45"/>
      <c r="C854" s="45"/>
      <c r="D854" s="46"/>
      <c r="E854" s="46"/>
      <c r="F854" s="46"/>
      <c r="G854" s="46"/>
      <c r="H854" s="46"/>
      <c r="I854" s="46"/>
      <c r="J854" s="46"/>
      <c r="K854" s="46"/>
    </row>
    <row r="855" spans="1:11">
      <c r="A855" s="45"/>
      <c r="B855" s="45"/>
      <c r="C855" s="45"/>
      <c r="D855" s="46"/>
      <c r="E855" s="46"/>
      <c r="F855" s="46"/>
      <c r="G855" s="46"/>
      <c r="H855" s="46"/>
      <c r="I855" s="46"/>
      <c r="J855" s="46"/>
      <c r="K855" s="46"/>
    </row>
    <row r="856" spans="1:11">
      <c r="A856" s="45"/>
      <c r="B856" s="45"/>
      <c r="C856" s="45"/>
      <c r="D856" s="46"/>
      <c r="E856" s="46"/>
      <c r="F856" s="46"/>
      <c r="G856" s="46"/>
      <c r="H856" s="46"/>
      <c r="I856" s="46"/>
      <c r="J856" s="46"/>
      <c r="K856" s="46"/>
    </row>
    <row r="857" spans="1:11">
      <c r="A857" s="45"/>
      <c r="B857" s="45"/>
      <c r="C857" s="45"/>
      <c r="D857" s="46"/>
      <c r="E857" s="46"/>
      <c r="F857" s="46"/>
      <c r="G857" s="46"/>
      <c r="H857" s="46"/>
      <c r="I857" s="46"/>
      <c r="J857" s="46"/>
      <c r="K857" s="46"/>
    </row>
    <row r="858" spans="1:11">
      <c r="A858" s="45"/>
      <c r="B858" s="45"/>
      <c r="C858" s="45"/>
      <c r="D858" s="46"/>
      <c r="E858" s="46"/>
      <c r="F858" s="46"/>
      <c r="G858" s="46"/>
      <c r="H858" s="46"/>
      <c r="I858" s="46"/>
      <c r="J858" s="46"/>
      <c r="K858" s="46"/>
    </row>
    <row r="859" spans="1:11">
      <c r="A859" s="45"/>
      <c r="B859" s="45"/>
      <c r="C859" s="45"/>
      <c r="D859" s="46"/>
      <c r="E859" s="46"/>
      <c r="F859" s="46"/>
      <c r="G859" s="46"/>
      <c r="H859" s="46"/>
      <c r="I859" s="46"/>
      <c r="J859" s="46"/>
      <c r="K859" s="46"/>
    </row>
    <row r="860" spans="1:11">
      <c r="A860" s="45"/>
      <c r="B860" s="45"/>
      <c r="C860" s="45"/>
      <c r="D860" s="46"/>
      <c r="E860" s="46"/>
      <c r="F860" s="46"/>
      <c r="G860" s="46"/>
      <c r="H860" s="46"/>
      <c r="I860" s="46"/>
      <c r="J860" s="46"/>
      <c r="K860" s="46"/>
    </row>
    <row r="861" spans="1:11">
      <c r="A861" s="45"/>
      <c r="B861" s="45"/>
      <c r="C861" s="45"/>
      <c r="D861" s="46"/>
      <c r="E861" s="46"/>
      <c r="F861" s="46"/>
      <c r="G861" s="46"/>
      <c r="H861" s="46"/>
      <c r="I861" s="46"/>
      <c r="J861" s="46"/>
      <c r="K861" s="46"/>
    </row>
    <row r="862" spans="1:11">
      <c r="A862" s="45"/>
      <c r="B862" s="45"/>
      <c r="C862" s="45"/>
      <c r="D862" s="46"/>
      <c r="E862" s="46"/>
      <c r="F862" s="46"/>
      <c r="G862" s="46"/>
      <c r="H862" s="46"/>
      <c r="I862" s="46"/>
      <c r="J862" s="46"/>
      <c r="K862" s="46"/>
    </row>
    <row r="863" spans="1:11">
      <c r="A863" s="45"/>
      <c r="B863" s="45"/>
      <c r="C863" s="45"/>
      <c r="D863" s="46"/>
      <c r="E863" s="46"/>
      <c r="F863" s="46"/>
      <c r="G863" s="46"/>
      <c r="H863" s="46"/>
      <c r="I863" s="46"/>
      <c r="J863" s="46"/>
      <c r="K863" s="46"/>
    </row>
    <row r="864" spans="1:11">
      <c r="A864" s="45"/>
      <c r="B864" s="45"/>
      <c r="C864" s="45"/>
      <c r="D864" s="46"/>
      <c r="E864" s="46"/>
      <c r="F864" s="46"/>
      <c r="G864" s="46"/>
      <c r="H864" s="46"/>
      <c r="I864" s="46"/>
      <c r="J864" s="46"/>
      <c r="K864" s="46"/>
    </row>
    <row r="865" spans="1:11">
      <c r="A865" s="45"/>
      <c r="B865" s="45"/>
      <c r="C865" s="45"/>
      <c r="D865" s="46"/>
      <c r="E865" s="46"/>
      <c r="F865" s="46"/>
      <c r="G865" s="46"/>
      <c r="H865" s="46"/>
      <c r="I865" s="46"/>
      <c r="J865" s="46"/>
      <c r="K865" s="46"/>
    </row>
    <row r="866" spans="1:11">
      <c r="A866" s="45"/>
      <c r="B866" s="45"/>
      <c r="C866" s="45"/>
      <c r="D866" s="46"/>
      <c r="E866" s="46"/>
      <c r="F866" s="46"/>
      <c r="G866" s="46"/>
      <c r="H866" s="46"/>
      <c r="I866" s="46"/>
      <c r="J866" s="46"/>
      <c r="K866" s="46"/>
    </row>
    <row r="867" spans="1:11">
      <c r="A867" s="45"/>
      <c r="B867" s="45"/>
      <c r="C867" s="45"/>
      <c r="D867" s="46"/>
      <c r="E867" s="46"/>
      <c r="F867" s="46"/>
      <c r="G867" s="46"/>
      <c r="H867" s="46"/>
      <c r="I867" s="46"/>
      <c r="J867" s="46"/>
      <c r="K867" s="46"/>
    </row>
    <row r="868" spans="1:11">
      <c r="A868" s="45"/>
      <c r="B868" s="45"/>
      <c r="C868" s="45"/>
      <c r="D868" s="46"/>
      <c r="E868" s="46"/>
      <c r="F868" s="46"/>
      <c r="G868" s="46"/>
      <c r="H868" s="46"/>
      <c r="I868" s="46"/>
      <c r="J868" s="46"/>
      <c r="K868" s="46"/>
    </row>
    <row r="869" spans="1:11">
      <c r="A869" s="45"/>
      <c r="B869" s="45"/>
      <c r="C869" s="45"/>
      <c r="D869" s="46"/>
      <c r="E869" s="46"/>
      <c r="F869" s="46"/>
      <c r="G869" s="46"/>
      <c r="H869" s="46"/>
      <c r="I869" s="46"/>
      <c r="J869" s="46"/>
      <c r="K869" s="46"/>
    </row>
    <row r="870" spans="1:11">
      <c r="A870" s="45"/>
      <c r="B870" s="45"/>
      <c r="C870" s="45"/>
      <c r="D870" s="46"/>
      <c r="E870" s="46"/>
      <c r="F870" s="46"/>
      <c r="G870" s="46"/>
      <c r="H870" s="46"/>
      <c r="I870" s="46"/>
      <c r="J870" s="46"/>
      <c r="K870" s="46"/>
    </row>
    <row r="871" spans="1:11">
      <c r="A871" s="45"/>
      <c r="B871" s="45"/>
      <c r="C871" s="45"/>
      <c r="D871" s="46"/>
      <c r="E871" s="46"/>
      <c r="F871" s="46"/>
      <c r="G871" s="46"/>
      <c r="H871" s="46"/>
      <c r="I871" s="46"/>
      <c r="J871" s="46"/>
      <c r="K871" s="46"/>
    </row>
    <row r="872" spans="1:11">
      <c r="A872" s="45"/>
      <c r="B872" s="45"/>
      <c r="C872" s="45"/>
      <c r="D872" s="46"/>
      <c r="E872" s="46"/>
      <c r="F872" s="46"/>
      <c r="G872" s="46"/>
      <c r="H872" s="46"/>
      <c r="I872" s="46"/>
      <c r="J872" s="46"/>
      <c r="K872" s="46"/>
    </row>
    <row r="873" spans="1:11">
      <c r="A873" s="45"/>
      <c r="B873" s="45"/>
      <c r="C873" s="45"/>
      <c r="D873" s="46"/>
      <c r="E873" s="46"/>
      <c r="F873" s="46"/>
      <c r="G873" s="46"/>
      <c r="H873" s="46"/>
      <c r="I873" s="46"/>
      <c r="J873" s="46"/>
      <c r="K873" s="46"/>
    </row>
    <row r="874" spans="1:11">
      <c r="A874" s="45"/>
      <c r="B874" s="45"/>
      <c r="C874" s="45"/>
      <c r="D874" s="46"/>
      <c r="E874" s="46"/>
      <c r="F874" s="46"/>
      <c r="G874" s="46"/>
      <c r="H874" s="46"/>
      <c r="I874" s="46"/>
      <c r="J874" s="46"/>
      <c r="K874" s="46"/>
    </row>
    <row r="875" spans="1:11">
      <c r="A875" s="45"/>
      <c r="B875" s="45"/>
      <c r="C875" s="45"/>
      <c r="D875" s="46"/>
      <c r="E875" s="46"/>
      <c r="F875" s="46"/>
      <c r="G875" s="46"/>
      <c r="H875" s="46"/>
      <c r="I875" s="46"/>
      <c r="J875" s="46"/>
      <c r="K875" s="46"/>
    </row>
    <row r="876" spans="1:11">
      <c r="A876" s="45"/>
      <c r="B876" s="45"/>
      <c r="C876" s="45"/>
      <c r="D876" s="46"/>
      <c r="E876" s="46"/>
      <c r="F876" s="46"/>
      <c r="G876" s="46"/>
      <c r="H876" s="46"/>
      <c r="I876" s="46"/>
      <c r="J876" s="46"/>
      <c r="K876" s="46"/>
    </row>
    <row r="877" spans="1:11">
      <c r="A877" s="45"/>
      <c r="B877" s="45"/>
      <c r="C877" s="45"/>
      <c r="D877" s="46"/>
      <c r="E877" s="46"/>
      <c r="F877" s="46"/>
      <c r="G877" s="46"/>
      <c r="H877" s="46"/>
      <c r="I877" s="46"/>
      <c r="J877" s="46"/>
      <c r="K877" s="46"/>
    </row>
    <row r="878" spans="1:11">
      <c r="A878" s="45"/>
      <c r="B878" s="45"/>
      <c r="C878" s="45"/>
      <c r="D878" s="46"/>
      <c r="E878" s="46"/>
      <c r="F878" s="46"/>
      <c r="G878" s="46"/>
      <c r="H878" s="46"/>
      <c r="I878" s="46"/>
      <c r="J878" s="46"/>
      <c r="K878" s="46"/>
    </row>
    <row r="879" spans="1:11">
      <c r="A879" s="45"/>
      <c r="B879" s="45"/>
      <c r="C879" s="45"/>
      <c r="D879" s="46"/>
      <c r="E879" s="46"/>
      <c r="F879" s="46"/>
      <c r="G879" s="46"/>
      <c r="H879" s="46"/>
      <c r="I879" s="46"/>
      <c r="J879" s="46"/>
      <c r="K879" s="46"/>
    </row>
    <row r="880" spans="1:11">
      <c r="A880" s="45"/>
      <c r="B880" s="45"/>
      <c r="C880" s="45"/>
      <c r="D880" s="46"/>
      <c r="E880" s="46"/>
      <c r="F880" s="46"/>
      <c r="G880" s="46"/>
      <c r="H880" s="46"/>
      <c r="I880" s="46"/>
      <c r="J880" s="46"/>
      <c r="K880" s="46"/>
    </row>
    <row r="881" spans="1:11">
      <c r="A881" s="45"/>
      <c r="B881" s="45"/>
      <c r="C881" s="45"/>
      <c r="D881" s="46"/>
      <c r="E881" s="46"/>
      <c r="F881" s="46"/>
      <c r="G881" s="46"/>
      <c r="H881" s="46"/>
      <c r="I881" s="46"/>
      <c r="J881" s="46"/>
      <c r="K881" s="46"/>
    </row>
    <row r="882" spans="1:11">
      <c r="A882" s="45"/>
      <c r="B882" s="45"/>
      <c r="C882" s="45"/>
      <c r="D882" s="46"/>
      <c r="E882" s="46"/>
      <c r="F882" s="46"/>
      <c r="G882" s="46"/>
      <c r="H882" s="46"/>
      <c r="I882" s="46"/>
      <c r="J882" s="46"/>
      <c r="K882" s="46"/>
    </row>
    <row r="883" spans="1:11">
      <c r="A883" s="45"/>
      <c r="B883" s="45"/>
      <c r="C883" s="45"/>
      <c r="D883" s="46"/>
      <c r="E883" s="46"/>
      <c r="F883" s="46"/>
      <c r="G883" s="46"/>
      <c r="H883" s="46"/>
      <c r="I883" s="46"/>
      <c r="J883" s="46"/>
      <c r="K883" s="46"/>
    </row>
    <row r="884" spans="1:11">
      <c r="A884" s="45"/>
      <c r="B884" s="45"/>
      <c r="C884" s="45"/>
      <c r="D884" s="46"/>
      <c r="E884" s="46"/>
      <c r="F884" s="46"/>
      <c r="G884" s="46"/>
      <c r="H884" s="46"/>
      <c r="I884" s="46"/>
      <c r="J884" s="46"/>
      <c r="K884" s="46"/>
    </row>
    <row r="885" spans="1:11">
      <c r="A885" s="45"/>
      <c r="B885" s="45"/>
      <c r="C885" s="45"/>
      <c r="D885" s="46"/>
      <c r="E885" s="46"/>
      <c r="F885" s="46"/>
      <c r="G885" s="46"/>
      <c r="H885" s="46"/>
      <c r="I885" s="46"/>
      <c r="J885" s="46"/>
      <c r="K885" s="46"/>
    </row>
    <row r="886" spans="1:11">
      <c r="A886" s="45"/>
      <c r="B886" s="45"/>
      <c r="C886" s="45"/>
      <c r="D886" s="46"/>
      <c r="E886" s="46"/>
      <c r="F886" s="46"/>
      <c r="G886" s="46"/>
      <c r="H886" s="46"/>
      <c r="I886" s="46"/>
      <c r="J886" s="46"/>
      <c r="K886" s="46"/>
    </row>
    <row r="887" spans="1:11">
      <c r="A887" s="45"/>
      <c r="B887" s="45"/>
      <c r="C887" s="45"/>
      <c r="D887" s="46"/>
      <c r="E887" s="46"/>
      <c r="F887" s="46"/>
      <c r="G887" s="46"/>
      <c r="H887" s="46"/>
      <c r="I887" s="46"/>
      <c r="J887" s="46"/>
      <c r="K887" s="46"/>
    </row>
    <row r="888" spans="1:11">
      <c r="A888" s="45"/>
      <c r="B888" s="45"/>
      <c r="C888" s="45"/>
      <c r="D888" s="46"/>
      <c r="E888" s="46"/>
      <c r="F888" s="46"/>
      <c r="G888" s="46"/>
      <c r="H888" s="46"/>
      <c r="I888" s="46"/>
      <c r="J888" s="46"/>
      <c r="K888" s="46"/>
    </row>
    <row r="889" spans="1:11">
      <c r="A889" s="45"/>
      <c r="B889" s="45"/>
      <c r="C889" s="45"/>
      <c r="D889" s="46"/>
      <c r="E889" s="46"/>
      <c r="F889" s="46"/>
      <c r="G889" s="46"/>
      <c r="H889" s="46"/>
      <c r="I889" s="46"/>
      <c r="J889" s="46"/>
      <c r="K889" s="46"/>
    </row>
    <row r="890" spans="1:11">
      <c r="A890" s="45"/>
      <c r="B890" s="45"/>
      <c r="C890" s="45"/>
      <c r="D890" s="46"/>
      <c r="E890" s="46"/>
      <c r="F890" s="46"/>
      <c r="G890" s="46"/>
      <c r="H890" s="46"/>
      <c r="I890" s="46"/>
      <c r="J890" s="46"/>
      <c r="K890" s="46"/>
    </row>
    <row r="891" spans="1:11">
      <c r="A891" s="45"/>
      <c r="B891" s="45"/>
      <c r="C891" s="45"/>
      <c r="D891" s="46"/>
      <c r="E891" s="46"/>
      <c r="F891" s="46"/>
      <c r="G891" s="46"/>
      <c r="H891" s="46"/>
      <c r="I891" s="46"/>
      <c r="J891" s="46"/>
      <c r="K891" s="46"/>
    </row>
    <row r="892" spans="1:11">
      <c r="A892" s="45"/>
      <c r="B892" s="45"/>
      <c r="C892" s="45"/>
      <c r="D892" s="46"/>
      <c r="E892" s="46"/>
      <c r="F892" s="46"/>
      <c r="G892" s="46"/>
      <c r="H892" s="46"/>
      <c r="I892" s="46"/>
      <c r="J892" s="46"/>
      <c r="K892" s="46"/>
    </row>
    <row r="893" spans="1:11">
      <c r="A893" s="45"/>
      <c r="B893" s="45"/>
      <c r="C893" s="45"/>
      <c r="D893" s="46"/>
      <c r="E893" s="46"/>
      <c r="F893" s="46"/>
      <c r="G893" s="46"/>
      <c r="H893" s="46"/>
      <c r="I893" s="46"/>
      <c r="J893" s="46"/>
      <c r="K893" s="46"/>
    </row>
    <row r="894" spans="1:11">
      <c r="A894" s="45"/>
      <c r="B894" s="45"/>
      <c r="C894" s="45"/>
      <c r="D894" s="46"/>
      <c r="E894" s="46"/>
      <c r="F894" s="46"/>
      <c r="G894" s="46"/>
      <c r="H894" s="46"/>
      <c r="I894" s="46"/>
      <c r="J894" s="46"/>
      <c r="K894" s="46"/>
    </row>
    <row r="895" spans="1:11">
      <c r="A895" s="45"/>
      <c r="B895" s="45"/>
      <c r="C895" s="45"/>
      <c r="D895" s="46"/>
      <c r="E895" s="46"/>
      <c r="F895" s="46"/>
      <c r="G895" s="46"/>
      <c r="H895" s="46"/>
      <c r="I895" s="46"/>
      <c r="J895" s="46"/>
      <c r="K895" s="46"/>
    </row>
    <row r="896" spans="1:11">
      <c r="A896" s="45"/>
      <c r="B896" s="45"/>
      <c r="C896" s="45"/>
      <c r="D896" s="46"/>
      <c r="E896" s="46"/>
      <c r="F896" s="46"/>
      <c r="G896" s="46"/>
      <c r="H896" s="46"/>
      <c r="I896" s="46"/>
      <c r="J896" s="46"/>
      <c r="K896" s="46"/>
    </row>
    <row r="897" spans="1:11">
      <c r="A897" s="45"/>
      <c r="B897" s="45"/>
      <c r="C897" s="45"/>
      <c r="D897" s="46"/>
      <c r="E897" s="46"/>
      <c r="F897" s="46"/>
      <c r="G897" s="46"/>
      <c r="H897" s="46"/>
      <c r="I897" s="46"/>
      <c r="J897" s="46"/>
      <c r="K897" s="46"/>
    </row>
    <row r="898" spans="1:11">
      <c r="A898" s="45"/>
      <c r="B898" s="45"/>
      <c r="C898" s="45"/>
      <c r="D898" s="46"/>
      <c r="E898" s="46"/>
      <c r="F898" s="46"/>
      <c r="G898" s="46"/>
      <c r="H898" s="46"/>
      <c r="I898" s="46"/>
      <c r="J898" s="46"/>
      <c r="K898" s="46"/>
    </row>
    <row r="899" spans="1:11">
      <c r="A899" s="45"/>
      <c r="B899" s="45"/>
      <c r="C899" s="45"/>
      <c r="D899" s="46"/>
      <c r="E899" s="46"/>
      <c r="F899" s="46"/>
      <c r="G899" s="46"/>
      <c r="H899" s="46"/>
      <c r="I899" s="46"/>
      <c r="J899" s="46"/>
      <c r="K899" s="46"/>
    </row>
    <row r="900" spans="1:11">
      <c r="A900" s="45"/>
      <c r="B900" s="45"/>
      <c r="C900" s="45"/>
      <c r="D900" s="46"/>
      <c r="E900" s="46"/>
      <c r="F900" s="46"/>
      <c r="G900" s="46"/>
      <c r="H900" s="46"/>
      <c r="I900" s="46"/>
      <c r="J900" s="46"/>
      <c r="K900" s="46"/>
    </row>
    <row r="901" spans="1:11">
      <c r="A901" s="45"/>
      <c r="B901" s="45"/>
      <c r="C901" s="45"/>
      <c r="D901" s="46"/>
      <c r="E901" s="46"/>
      <c r="F901" s="46"/>
      <c r="G901" s="46"/>
      <c r="H901" s="46"/>
      <c r="I901" s="46"/>
      <c r="J901" s="46"/>
      <c r="K901" s="46"/>
    </row>
    <row r="902" spans="1:11">
      <c r="A902" s="45"/>
      <c r="B902" s="45"/>
      <c r="C902" s="45"/>
      <c r="D902" s="46"/>
      <c r="E902" s="46"/>
      <c r="F902" s="46"/>
      <c r="G902" s="46"/>
      <c r="H902" s="46"/>
      <c r="I902" s="46"/>
      <c r="J902" s="46"/>
      <c r="K902" s="46"/>
    </row>
    <row r="903" spans="1:11">
      <c r="A903" s="45"/>
      <c r="B903" s="45"/>
      <c r="C903" s="45"/>
      <c r="D903" s="46"/>
      <c r="E903" s="46"/>
      <c r="F903" s="46"/>
      <c r="G903" s="46"/>
      <c r="H903" s="46"/>
      <c r="I903" s="46"/>
      <c r="J903" s="46"/>
      <c r="K903" s="46"/>
    </row>
    <row r="904" spans="1:11">
      <c r="A904" s="45"/>
      <c r="B904" s="45"/>
      <c r="C904" s="45"/>
      <c r="D904" s="46"/>
      <c r="E904" s="46"/>
      <c r="F904" s="46"/>
      <c r="G904" s="46"/>
      <c r="H904" s="46"/>
      <c r="I904" s="46"/>
      <c r="J904" s="46"/>
      <c r="K904" s="46"/>
    </row>
    <row r="905" spans="1:11">
      <c r="A905" s="45"/>
      <c r="B905" s="45"/>
      <c r="C905" s="45"/>
      <c r="D905" s="46"/>
      <c r="E905" s="46"/>
      <c r="F905" s="46"/>
      <c r="G905" s="46"/>
      <c r="H905" s="46"/>
      <c r="I905" s="46"/>
      <c r="J905" s="46"/>
      <c r="K905" s="46"/>
    </row>
    <row r="906" spans="1:11">
      <c r="A906" s="45"/>
      <c r="B906" s="45"/>
      <c r="C906" s="45"/>
      <c r="D906" s="46"/>
      <c r="E906" s="46"/>
      <c r="F906" s="46"/>
      <c r="G906" s="46"/>
      <c r="H906" s="46"/>
      <c r="I906" s="46"/>
      <c r="J906" s="46"/>
      <c r="K906" s="46"/>
    </row>
    <row r="907" spans="1:11">
      <c r="A907" s="45"/>
      <c r="B907" s="45"/>
      <c r="C907" s="45"/>
      <c r="D907" s="46"/>
      <c r="E907" s="46"/>
      <c r="F907" s="46"/>
      <c r="G907" s="46"/>
      <c r="H907" s="46"/>
      <c r="I907" s="46"/>
      <c r="J907" s="46"/>
      <c r="K907" s="46"/>
    </row>
    <row r="908" spans="1:11">
      <c r="A908" s="45"/>
      <c r="B908" s="45"/>
      <c r="C908" s="45"/>
      <c r="D908" s="46"/>
      <c r="E908" s="46"/>
      <c r="F908" s="46"/>
      <c r="G908" s="46"/>
      <c r="H908" s="46"/>
      <c r="I908" s="46"/>
      <c r="J908" s="46"/>
      <c r="K908" s="46"/>
    </row>
    <row r="909" spans="1:11">
      <c r="A909" s="45"/>
      <c r="B909" s="45"/>
      <c r="C909" s="45"/>
      <c r="D909" s="46"/>
      <c r="E909" s="46"/>
      <c r="F909" s="46"/>
      <c r="G909" s="46"/>
      <c r="H909" s="46"/>
      <c r="I909" s="46"/>
      <c r="J909" s="46"/>
      <c r="K909" s="46"/>
    </row>
    <row r="910" spans="1:11">
      <c r="A910" s="45"/>
      <c r="B910" s="45"/>
      <c r="C910" s="45"/>
      <c r="D910" s="46"/>
      <c r="E910" s="46"/>
      <c r="F910" s="46"/>
      <c r="G910" s="46"/>
      <c r="H910" s="46"/>
      <c r="I910" s="46"/>
      <c r="J910" s="46"/>
      <c r="K910" s="46"/>
    </row>
    <row r="911" spans="1:11">
      <c r="A911" s="45"/>
      <c r="B911" s="45"/>
      <c r="C911" s="45"/>
      <c r="D911" s="46"/>
      <c r="E911" s="46"/>
      <c r="F911" s="46"/>
      <c r="G911" s="46"/>
      <c r="H911" s="46"/>
      <c r="I911" s="46"/>
      <c r="J911" s="46"/>
      <c r="K911" s="46"/>
    </row>
    <row r="912" spans="1:11">
      <c r="A912" s="45"/>
      <c r="B912" s="45"/>
      <c r="C912" s="45"/>
      <c r="D912" s="46"/>
      <c r="E912" s="46"/>
      <c r="F912" s="46"/>
      <c r="G912" s="46"/>
      <c r="H912" s="46"/>
      <c r="I912" s="46"/>
      <c r="J912" s="46"/>
      <c r="K912" s="46"/>
    </row>
    <row r="913" spans="1:11">
      <c r="A913" s="45"/>
      <c r="B913" s="45"/>
      <c r="C913" s="45"/>
      <c r="D913" s="46"/>
      <c r="E913" s="46"/>
      <c r="F913" s="46"/>
      <c r="G913" s="46"/>
      <c r="H913" s="46"/>
      <c r="I913" s="46"/>
      <c r="J913" s="46"/>
      <c r="K913" s="46"/>
    </row>
    <row r="914" spans="1:11">
      <c r="A914" s="45"/>
      <c r="B914" s="45"/>
      <c r="C914" s="45"/>
      <c r="D914" s="46"/>
      <c r="E914" s="46"/>
      <c r="F914" s="46"/>
      <c r="G914" s="46"/>
      <c r="H914" s="46"/>
      <c r="I914" s="46"/>
      <c r="J914" s="46"/>
      <c r="K914" s="46"/>
    </row>
    <row r="915" spans="1:11">
      <c r="A915" s="45"/>
      <c r="B915" s="45"/>
      <c r="C915" s="45"/>
      <c r="D915" s="46"/>
      <c r="E915" s="46"/>
      <c r="F915" s="46"/>
      <c r="G915" s="46"/>
      <c r="H915" s="46"/>
      <c r="I915" s="46"/>
      <c r="J915" s="46"/>
      <c r="K915" s="46"/>
    </row>
    <row r="916" spans="1:11">
      <c r="A916" s="45"/>
      <c r="B916" s="45"/>
      <c r="C916" s="45"/>
      <c r="D916" s="46"/>
      <c r="E916" s="46"/>
      <c r="F916" s="46"/>
      <c r="G916" s="46"/>
      <c r="H916" s="46"/>
      <c r="I916" s="46"/>
      <c r="J916" s="46"/>
      <c r="K916" s="46"/>
    </row>
    <row r="917" spans="1:11">
      <c r="A917" s="45"/>
      <c r="B917" s="45"/>
      <c r="C917" s="45"/>
      <c r="D917" s="46"/>
      <c r="E917" s="46"/>
      <c r="F917" s="46"/>
      <c r="G917" s="46"/>
      <c r="H917" s="46"/>
      <c r="I917" s="46"/>
      <c r="J917" s="46"/>
      <c r="K917" s="46"/>
    </row>
    <row r="918" spans="1:11">
      <c r="A918" s="45"/>
      <c r="B918" s="45"/>
      <c r="C918" s="45"/>
      <c r="D918" s="46"/>
      <c r="E918" s="46"/>
      <c r="F918" s="46"/>
      <c r="G918" s="46"/>
      <c r="H918" s="46"/>
      <c r="I918" s="46"/>
      <c r="J918" s="46"/>
      <c r="K918" s="46"/>
    </row>
    <row r="919" spans="1:11">
      <c r="A919" s="45"/>
      <c r="B919" s="45"/>
      <c r="C919" s="45"/>
      <c r="D919" s="46"/>
      <c r="E919" s="46"/>
      <c r="F919" s="46"/>
      <c r="G919" s="46"/>
      <c r="H919" s="46"/>
      <c r="I919" s="46"/>
      <c r="J919" s="46"/>
      <c r="K919" s="46"/>
    </row>
    <row r="920" spans="1:11">
      <c r="A920" s="45"/>
      <c r="B920" s="45"/>
      <c r="C920" s="45"/>
      <c r="D920" s="46"/>
      <c r="E920" s="46"/>
      <c r="F920" s="46"/>
      <c r="G920" s="46"/>
      <c r="H920" s="46"/>
      <c r="I920" s="46"/>
      <c r="J920" s="46"/>
      <c r="K920" s="46"/>
    </row>
    <row r="921" spans="1:11">
      <c r="A921" s="45"/>
      <c r="B921" s="45"/>
      <c r="C921" s="45"/>
      <c r="D921" s="46"/>
      <c r="E921" s="46"/>
      <c r="F921" s="46"/>
      <c r="G921" s="46"/>
      <c r="H921" s="46"/>
      <c r="I921" s="46"/>
      <c r="J921" s="46"/>
      <c r="K921" s="46"/>
    </row>
    <row r="922" spans="1:11">
      <c r="A922" s="45"/>
      <c r="B922" s="45"/>
      <c r="C922" s="45"/>
      <c r="D922" s="46"/>
      <c r="E922" s="46"/>
      <c r="F922" s="46"/>
      <c r="G922" s="46"/>
      <c r="H922" s="46"/>
      <c r="I922" s="46"/>
      <c r="J922" s="46"/>
      <c r="K922" s="46"/>
    </row>
    <row r="923" spans="1:11">
      <c r="A923" s="45"/>
      <c r="B923" s="45"/>
      <c r="C923" s="45"/>
      <c r="D923" s="46"/>
      <c r="E923" s="46"/>
      <c r="F923" s="46"/>
      <c r="G923" s="46"/>
      <c r="H923" s="46"/>
      <c r="I923" s="46"/>
      <c r="J923" s="46"/>
      <c r="K923" s="46"/>
    </row>
    <row r="924" spans="1:11">
      <c r="A924" s="45"/>
      <c r="B924" s="45"/>
      <c r="C924" s="45"/>
      <c r="D924" s="46"/>
      <c r="E924" s="46"/>
      <c r="F924" s="46"/>
      <c r="G924" s="46"/>
      <c r="H924" s="46"/>
      <c r="I924" s="46"/>
      <c r="J924" s="46"/>
      <c r="K924" s="46"/>
    </row>
    <row r="925" spans="1:11">
      <c r="A925" s="45"/>
      <c r="B925" s="45"/>
      <c r="C925" s="45"/>
      <c r="D925" s="46"/>
      <c r="E925" s="46"/>
      <c r="F925" s="46"/>
      <c r="G925" s="46"/>
      <c r="H925" s="46"/>
      <c r="I925" s="46"/>
      <c r="J925" s="46"/>
      <c r="K925" s="46"/>
    </row>
    <row r="926" spans="1:11">
      <c r="A926" s="45"/>
      <c r="B926" s="45"/>
      <c r="C926" s="45"/>
      <c r="D926" s="46"/>
      <c r="E926" s="46"/>
      <c r="F926" s="46"/>
      <c r="G926" s="46"/>
      <c r="H926" s="46"/>
      <c r="I926" s="46"/>
      <c r="J926" s="46"/>
      <c r="K926" s="46"/>
    </row>
    <row r="927" spans="1:11">
      <c r="A927" s="45"/>
      <c r="B927" s="45"/>
      <c r="C927" s="45"/>
      <c r="D927" s="46"/>
      <c r="E927" s="46"/>
      <c r="F927" s="46"/>
      <c r="G927" s="46"/>
      <c r="H927" s="46"/>
      <c r="I927" s="46"/>
      <c r="J927" s="46"/>
      <c r="K927" s="46"/>
    </row>
    <row r="928" spans="1:11">
      <c r="A928" s="45"/>
      <c r="B928" s="45"/>
      <c r="C928" s="45"/>
      <c r="D928" s="46"/>
      <c r="E928" s="46"/>
      <c r="F928" s="46"/>
      <c r="G928" s="46"/>
      <c r="H928" s="46"/>
      <c r="I928" s="46"/>
      <c r="J928" s="46"/>
      <c r="K928" s="46"/>
    </row>
    <row r="929" spans="1:11">
      <c r="A929" s="45"/>
      <c r="B929" s="45"/>
      <c r="C929" s="45"/>
      <c r="D929" s="46"/>
      <c r="E929" s="46"/>
      <c r="F929" s="46"/>
      <c r="G929" s="46"/>
      <c r="H929" s="46"/>
      <c r="I929" s="46"/>
      <c r="J929" s="46"/>
      <c r="K929" s="46"/>
    </row>
    <row r="930" spans="1:11">
      <c r="A930" s="45"/>
      <c r="B930" s="45"/>
      <c r="C930" s="45"/>
      <c r="D930" s="46"/>
      <c r="E930" s="46"/>
      <c r="F930" s="46"/>
      <c r="G930" s="46"/>
      <c r="H930" s="46"/>
      <c r="I930" s="46"/>
      <c r="J930" s="46"/>
      <c r="K930" s="46"/>
    </row>
    <row r="931" spans="1:11">
      <c r="A931" s="45"/>
      <c r="B931" s="45"/>
      <c r="C931" s="45"/>
      <c r="D931" s="46"/>
      <c r="E931" s="46"/>
      <c r="F931" s="46"/>
      <c r="G931" s="46"/>
      <c r="H931" s="46"/>
      <c r="I931" s="46"/>
      <c r="J931" s="46"/>
      <c r="K931" s="46"/>
    </row>
    <row r="932" spans="1:11">
      <c r="A932" s="45"/>
      <c r="B932" s="45"/>
      <c r="C932" s="45"/>
      <c r="D932" s="46"/>
      <c r="E932" s="46"/>
      <c r="F932" s="46"/>
      <c r="G932" s="46"/>
      <c r="H932" s="46"/>
      <c r="I932" s="46"/>
      <c r="J932" s="46"/>
      <c r="K932" s="46"/>
    </row>
    <row r="933" spans="1:11">
      <c r="A933" s="45"/>
      <c r="B933" s="45"/>
      <c r="C933" s="45"/>
      <c r="D933" s="46"/>
      <c r="E933" s="46"/>
      <c r="F933" s="46"/>
      <c r="G933" s="46"/>
      <c r="H933" s="46"/>
      <c r="I933" s="46"/>
      <c r="J933" s="46"/>
      <c r="K933" s="46"/>
    </row>
    <row r="934" spans="1:11">
      <c r="A934" s="45"/>
      <c r="B934" s="45"/>
      <c r="C934" s="45"/>
      <c r="D934" s="46"/>
      <c r="E934" s="46"/>
      <c r="F934" s="46"/>
      <c r="G934" s="46"/>
      <c r="H934" s="46"/>
      <c r="I934" s="46"/>
      <c r="J934" s="46"/>
      <c r="K934" s="46"/>
    </row>
    <row r="935" spans="1:11">
      <c r="A935" s="45"/>
      <c r="B935" s="45"/>
      <c r="C935" s="45"/>
      <c r="D935" s="46"/>
      <c r="E935" s="46"/>
      <c r="F935" s="46"/>
      <c r="G935" s="46"/>
      <c r="H935" s="46"/>
      <c r="I935" s="46"/>
      <c r="J935" s="46"/>
      <c r="K935" s="46"/>
    </row>
    <row r="936" spans="1:11">
      <c r="A936" s="45"/>
      <c r="B936" s="45"/>
      <c r="C936" s="45"/>
      <c r="D936" s="46"/>
      <c r="E936" s="46"/>
      <c r="F936" s="46"/>
      <c r="G936" s="46"/>
      <c r="H936" s="46"/>
      <c r="I936" s="46"/>
      <c r="J936" s="46"/>
      <c r="K936" s="46"/>
    </row>
    <row r="937" spans="1:11">
      <c r="A937" s="45"/>
      <c r="B937" s="45"/>
      <c r="C937" s="45"/>
      <c r="D937" s="46"/>
      <c r="E937" s="46"/>
      <c r="F937" s="46"/>
      <c r="G937" s="46"/>
      <c r="H937" s="46"/>
      <c r="I937" s="46"/>
      <c r="J937" s="46"/>
      <c r="K937" s="46"/>
    </row>
    <row r="938" spans="1:11">
      <c r="A938" s="45"/>
      <c r="B938" s="45"/>
      <c r="C938" s="45"/>
      <c r="D938" s="46"/>
      <c r="E938" s="46"/>
      <c r="F938" s="46"/>
      <c r="G938" s="46"/>
      <c r="H938" s="46"/>
      <c r="I938" s="46"/>
      <c r="J938" s="46"/>
      <c r="K938" s="46"/>
    </row>
    <row r="939" spans="1:11">
      <c r="A939" s="45"/>
      <c r="B939" s="45"/>
      <c r="C939" s="45"/>
      <c r="D939" s="46"/>
      <c r="E939" s="46"/>
      <c r="F939" s="46"/>
      <c r="G939" s="46"/>
      <c r="H939" s="46"/>
      <c r="I939" s="46"/>
      <c r="J939" s="46"/>
      <c r="K939" s="46"/>
    </row>
    <row r="940" spans="1:11">
      <c r="A940" s="45"/>
      <c r="B940" s="45"/>
      <c r="C940" s="45"/>
      <c r="D940" s="46"/>
      <c r="E940" s="46"/>
      <c r="F940" s="46"/>
      <c r="G940" s="46"/>
      <c r="H940" s="46"/>
      <c r="I940" s="46"/>
      <c r="J940" s="46"/>
      <c r="K940" s="46"/>
    </row>
    <row r="941" spans="1:11">
      <c r="A941" s="45"/>
      <c r="B941" s="45"/>
      <c r="C941" s="45"/>
      <c r="D941" s="46"/>
      <c r="E941" s="46"/>
      <c r="F941" s="46"/>
      <c r="G941" s="46"/>
      <c r="H941" s="46"/>
      <c r="I941" s="46"/>
      <c r="J941" s="46"/>
      <c r="K941" s="46"/>
    </row>
    <row r="942" spans="1:11">
      <c r="A942" s="45"/>
      <c r="B942" s="45"/>
      <c r="C942" s="45"/>
      <c r="D942" s="46"/>
      <c r="E942" s="46"/>
      <c r="F942" s="46"/>
      <c r="G942" s="46"/>
      <c r="H942" s="46"/>
      <c r="I942" s="46"/>
      <c r="J942" s="46"/>
      <c r="K942" s="46"/>
    </row>
    <row r="943" spans="1:11">
      <c r="A943" s="45"/>
      <c r="B943" s="45"/>
      <c r="C943" s="45"/>
      <c r="D943" s="46"/>
      <c r="E943" s="46"/>
      <c r="F943" s="46"/>
      <c r="G943" s="46"/>
      <c r="H943" s="46"/>
      <c r="I943" s="46"/>
      <c r="J943" s="46"/>
      <c r="K943" s="46"/>
    </row>
    <row r="944" spans="1:11">
      <c r="A944" s="45"/>
      <c r="B944" s="45"/>
      <c r="C944" s="45"/>
      <c r="D944" s="46"/>
      <c r="E944" s="46"/>
      <c r="F944" s="46"/>
      <c r="G944" s="46"/>
      <c r="H944" s="46"/>
      <c r="I944" s="46"/>
      <c r="J944" s="46"/>
      <c r="K944" s="46"/>
    </row>
    <row r="945" spans="1:11">
      <c r="A945" s="45"/>
      <c r="B945" s="45"/>
      <c r="C945" s="45"/>
      <c r="D945" s="46"/>
      <c r="E945" s="46"/>
      <c r="F945" s="46"/>
      <c r="G945" s="46"/>
      <c r="H945" s="46"/>
      <c r="I945" s="46"/>
      <c r="J945" s="46"/>
      <c r="K945" s="46"/>
    </row>
    <row r="946" spans="1:11">
      <c r="A946" s="45"/>
      <c r="B946" s="45"/>
      <c r="C946" s="45"/>
      <c r="D946" s="46"/>
      <c r="E946" s="46"/>
      <c r="F946" s="46"/>
      <c r="G946" s="46"/>
      <c r="H946" s="46"/>
      <c r="I946" s="46"/>
      <c r="J946" s="46"/>
      <c r="K946" s="46"/>
    </row>
    <row r="947" spans="1:11">
      <c r="A947" s="45"/>
      <c r="B947" s="45"/>
      <c r="C947" s="45"/>
      <c r="D947" s="46"/>
      <c r="E947" s="46"/>
      <c r="F947" s="46"/>
      <c r="G947" s="46"/>
      <c r="H947" s="46"/>
      <c r="I947" s="46"/>
      <c r="J947" s="46"/>
      <c r="K947" s="46"/>
    </row>
    <row r="948" spans="1:11">
      <c r="A948" s="45"/>
      <c r="B948" s="45"/>
      <c r="C948" s="45"/>
      <c r="D948" s="46"/>
      <c r="E948" s="46"/>
      <c r="F948" s="46"/>
      <c r="G948" s="46"/>
      <c r="H948" s="46"/>
      <c r="I948" s="46"/>
      <c r="J948" s="46"/>
      <c r="K948" s="46"/>
    </row>
    <row r="949" spans="1:11">
      <c r="A949" s="45"/>
      <c r="B949" s="45"/>
      <c r="C949" s="45"/>
      <c r="D949" s="46"/>
      <c r="E949" s="46"/>
      <c r="F949" s="46"/>
      <c r="G949" s="46"/>
      <c r="H949" s="46"/>
      <c r="I949" s="46"/>
      <c r="J949" s="46"/>
      <c r="K949" s="46"/>
    </row>
    <row r="950" spans="1:11">
      <c r="A950" s="45"/>
      <c r="B950" s="45"/>
      <c r="C950" s="45"/>
      <c r="D950" s="46"/>
      <c r="E950" s="46"/>
      <c r="F950" s="46"/>
      <c r="G950" s="46"/>
      <c r="H950" s="46"/>
      <c r="I950" s="46"/>
      <c r="J950" s="46"/>
      <c r="K950" s="46"/>
    </row>
    <row r="951" spans="1:11">
      <c r="A951" s="45"/>
      <c r="B951" s="45"/>
      <c r="C951" s="45"/>
      <c r="D951" s="46"/>
      <c r="E951" s="46"/>
      <c r="F951" s="46"/>
      <c r="G951" s="46"/>
      <c r="H951" s="46"/>
      <c r="I951" s="46"/>
      <c r="J951" s="46"/>
      <c r="K951" s="46"/>
    </row>
    <row r="952" spans="1:11">
      <c r="A952" s="45"/>
      <c r="B952" s="45"/>
      <c r="C952" s="45"/>
      <c r="D952" s="46"/>
      <c r="E952" s="46"/>
      <c r="F952" s="46"/>
      <c r="G952" s="46"/>
      <c r="H952" s="46"/>
      <c r="I952" s="46"/>
      <c r="J952" s="46"/>
      <c r="K952" s="46"/>
    </row>
    <row r="953" spans="1:11">
      <c r="A953" s="45"/>
      <c r="B953" s="45"/>
      <c r="C953" s="45"/>
      <c r="D953" s="46"/>
      <c r="E953" s="46"/>
      <c r="F953" s="46"/>
      <c r="G953" s="46"/>
      <c r="H953" s="46"/>
      <c r="I953" s="46"/>
      <c r="J953" s="46"/>
      <c r="K953" s="46"/>
    </row>
    <row r="954" spans="1:11">
      <c r="A954" s="45"/>
      <c r="B954" s="45"/>
      <c r="C954" s="45"/>
      <c r="D954" s="46"/>
      <c r="E954" s="46"/>
      <c r="F954" s="46"/>
      <c r="G954" s="46"/>
      <c r="H954" s="46"/>
      <c r="I954" s="46"/>
      <c r="J954" s="46"/>
      <c r="K954" s="46"/>
    </row>
    <row r="955" spans="1:11">
      <c r="A955" s="45"/>
      <c r="B955" s="45"/>
      <c r="C955" s="45"/>
      <c r="D955" s="46"/>
      <c r="E955" s="46"/>
      <c r="F955" s="46"/>
      <c r="G955" s="46"/>
      <c r="H955" s="46"/>
      <c r="I955" s="46"/>
      <c r="J955" s="46"/>
      <c r="K955" s="46"/>
    </row>
    <row r="956" spans="1:11">
      <c r="A956" s="45"/>
      <c r="B956" s="45"/>
      <c r="C956" s="45"/>
      <c r="D956" s="46"/>
      <c r="E956" s="46"/>
      <c r="F956" s="46"/>
      <c r="G956" s="46"/>
      <c r="H956" s="46"/>
      <c r="I956" s="46"/>
      <c r="J956" s="46"/>
      <c r="K956" s="46"/>
    </row>
    <row r="957" spans="1:11">
      <c r="A957" s="45"/>
      <c r="B957" s="45"/>
      <c r="C957" s="45"/>
      <c r="D957" s="46"/>
      <c r="E957" s="46"/>
      <c r="F957" s="46"/>
      <c r="G957" s="46"/>
      <c r="H957" s="46"/>
      <c r="I957" s="46"/>
      <c r="J957" s="46"/>
      <c r="K957" s="46"/>
    </row>
    <row r="958" spans="1:11">
      <c r="A958" s="45"/>
      <c r="B958" s="45"/>
      <c r="C958" s="45"/>
      <c r="D958" s="46"/>
      <c r="E958" s="46"/>
      <c r="F958" s="46"/>
      <c r="G958" s="46"/>
      <c r="H958" s="46"/>
      <c r="I958" s="46"/>
      <c r="J958" s="46"/>
      <c r="K958" s="46"/>
    </row>
    <row r="959" spans="1:11">
      <c r="A959" s="45"/>
      <c r="B959" s="45"/>
      <c r="C959" s="45"/>
      <c r="D959" s="46"/>
      <c r="E959" s="46"/>
      <c r="F959" s="46"/>
      <c r="G959" s="46"/>
      <c r="H959" s="46"/>
      <c r="I959" s="46"/>
      <c r="J959" s="46"/>
      <c r="K959" s="46"/>
    </row>
    <row r="960" spans="1:11">
      <c r="A960" s="45"/>
      <c r="B960" s="45"/>
      <c r="C960" s="45"/>
      <c r="D960" s="46"/>
      <c r="E960" s="46"/>
      <c r="F960" s="46"/>
      <c r="G960" s="46"/>
      <c r="H960" s="46"/>
      <c r="I960" s="46"/>
      <c r="J960" s="46"/>
      <c r="K960" s="46"/>
    </row>
    <row r="961" spans="1:11">
      <c r="A961" s="45"/>
      <c r="B961" s="45"/>
      <c r="C961" s="45"/>
      <c r="D961" s="46"/>
      <c r="E961" s="46"/>
      <c r="F961" s="46"/>
      <c r="G961" s="46"/>
      <c r="H961" s="46"/>
      <c r="I961" s="46"/>
      <c r="J961" s="46"/>
      <c r="K961" s="46"/>
    </row>
    <row r="962" spans="1:11">
      <c r="A962" s="45"/>
      <c r="B962" s="45"/>
      <c r="C962" s="45"/>
      <c r="D962" s="46"/>
      <c r="E962" s="46"/>
      <c r="F962" s="46"/>
      <c r="G962" s="46"/>
      <c r="H962" s="46"/>
      <c r="I962" s="46"/>
      <c r="J962" s="46"/>
      <c r="K962" s="46"/>
    </row>
    <row r="963" spans="1:11">
      <c r="A963" s="45"/>
      <c r="B963" s="45"/>
      <c r="C963" s="45"/>
      <c r="D963" s="46"/>
      <c r="E963" s="46"/>
      <c r="F963" s="46"/>
      <c r="G963" s="46"/>
      <c r="H963" s="46"/>
      <c r="I963" s="46"/>
      <c r="J963" s="46"/>
      <c r="K963" s="46"/>
    </row>
    <row r="964" spans="1:11">
      <c r="A964" s="45"/>
      <c r="B964" s="45"/>
      <c r="C964" s="45"/>
      <c r="D964" s="46"/>
      <c r="E964" s="46"/>
      <c r="F964" s="46"/>
      <c r="G964" s="46"/>
      <c r="H964" s="46"/>
      <c r="I964" s="46"/>
      <c r="J964" s="46"/>
      <c r="K964" s="46"/>
    </row>
    <row r="965" spans="1:11">
      <c r="A965" s="45"/>
      <c r="B965" s="45"/>
      <c r="C965" s="45"/>
      <c r="D965" s="46"/>
      <c r="E965" s="46"/>
      <c r="F965" s="46"/>
      <c r="G965" s="46"/>
      <c r="H965" s="46"/>
      <c r="I965" s="46"/>
      <c r="J965" s="46"/>
      <c r="K965" s="46"/>
    </row>
    <row r="966" spans="1:11">
      <c r="A966" s="45"/>
      <c r="B966" s="45"/>
      <c r="C966" s="45"/>
      <c r="D966" s="46"/>
      <c r="E966" s="46"/>
      <c r="F966" s="46"/>
      <c r="G966" s="46"/>
      <c r="H966" s="46"/>
      <c r="I966" s="46"/>
      <c r="J966" s="46"/>
      <c r="K966" s="46"/>
    </row>
    <row r="967" spans="1:11">
      <c r="A967" s="45"/>
      <c r="B967" s="45"/>
      <c r="C967" s="45"/>
      <c r="D967" s="46"/>
      <c r="E967" s="46"/>
      <c r="F967" s="46"/>
      <c r="G967" s="46"/>
      <c r="H967" s="46"/>
      <c r="I967" s="46"/>
      <c r="J967" s="46"/>
      <c r="K967" s="46"/>
    </row>
    <row r="968" spans="1:11">
      <c r="A968" s="45"/>
      <c r="B968" s="45"/>
      <c r="C968" s="45"/>
      <c r="D968" s="46"/>
      <c r="E968" s="46"/>
      <c r="F968" s="46"/>
      <c r="G968" s="46"/>
      <c r="H968" s="46"/>
      <c r="I968" s="46"/>
      <c r="J968" s="46"/>
      <c r="K968" s="46"/>
    </row>
    <row r="969" spans="1:11">
      <c r="A969" s="45"/>
      <c r="B969" s="45"/>
      <c r="C969" s="45"/>
      <c r="D969" s="46"/>
      <c r="E969" s="46"/>
      <c r="F969" s="46"/>
      <c r="G969" s="46"/>
      <c r="H969" s="46"/>
      <c r="I969" s="46"/>
      <c r="J969" s="46"/>
      <c r="K969" s="46"/>
    </row>
    <row r="970" spans="1:11">
      <c r="A970" s="45"/>
      <c r="B970" s="45"/>
      <c r="C970" s="45"/>
      <c r="D970" s="46"/>
      <c r="E970" s="46"/>
      <c r="F970" s="46"/>
      <c r="G970" s="46"/>
      <c r="H970" s="46"/>
      <c r="I970" s="46"/>
      <c r="J970" s="46"/>
      <c r="K970" s="46"/>
    </row>
    <row r="971" spans="1:11">
      <c r="A971" s="45"/>
      <c r="B971" s="45"/>
      <c r="C971" s="45"/>
      <c r="D971" s="46"/>
      <c r="E971" s="46"/>
      <c r="F971" s="46"/>
      <c r="G971" s="46"/>
      <c r="H971" s="46"/>
      <c r="I971" s="46"/>
      <c r="J971" s="46"/>
      <c r="K971" s="46"/>
    </row>
    <row r="972" spans="1:11">
      <c r="A972" s="45"/>
      <c r="B972" s="45"/>
      <c r="C972" s="45"/>
      <c r="D972" s="46"/>
      <c r="E972" s="46"/>
      <c r="F972" s="46"/>
      <c r="G972" s="46"/>
      <c r="H972" s="46"/>
      <c r="I972" s="46"/>
      <c r="J972" s="46"/>
      <c r="K972" s="46"/>
    </row>
    <row r="973" spans="1:11">
      <c r="A973" s="45"/>
      <c r="B973" s="45"/>
      <c r="C973" s="45"/>
      <c r="D973" s="46"/>
      <c r="E973" s="46"/>
      <c r="F973" s="46"/>
      <c r="G973" s="46"/>
      <c r="H973" s="46"/>
      <c r="I973" s="46"/>
      <c r="J973" s="46"/>
      <c r="K973" s="46"/>
    </row>
    <row r="974" spans="1:11">
      <c r="A974" s="45"/>
      <c r="B974" s="45"/>
      <c r="C974" s="45"/>
      <c r="D974" s="46"/>
      <c r="E974" s="46"/>
      <c r="F974" s="46"/>
      <c r="G974" s="46"/>
      <c r="H974" s="46"/>
      <c r="I974" s="46"/>
      <c r="J974" s="46"/>
      <c r="K974" s="46"/>
    </row>
    <row r="975" spans="1:11">
      <c r="A975" s="45"/>
      <c r="B975" s="45"/>
      <c r="C975" s="45"/>
      <c r="D975" s="46"/>
      <c r="E975" s="46"/>
      <c r="F975" s="46"/>
      <c r="G975" s="46"/>
      <c r="H975" s="46"/>
      <c r="I975" s="46"/>
      <c r="J975" s="46"/>
      <c r="K975" s="46"/>
    </row>
    <row r="976" spans="1:11">
      <c r="A976" s="45"/>
      <c r="B976" s="45"/>
      <c r="C976" s="45"/>
      <c r="D976" s="46"/>
      <c r="E976" s="46"/>
      <c r="F976" s="46"/>
      <c r="G976" s="46"/>
      <c r="H976" s="46"/>
      <c r="I976" s="46"/>
      <c r="J976" s="46"/>
      <c r="K976" s="46"/>
    </row>
    <row r="977" spans="1:11">
      <c r="A977" s="45"/>
      <c r="B977" s="45"/>
      <c r="C977" s="45"/>
      <c r="D977" s="46"/>
      <c r="E977" s="46"/>
      <c r="F977" s="46"/>
      <c r="G977" s="46"/>
      <c r="H977" s="46"/>
      <c r="I977" s="46"/>
      <c r="J977" s="46"/>
      <c r="K977" s="46"/>
    </row>
    <row r="978" spans="1:11">
      <c r="A978" s="45"/>
      <c r="B978" s="45"/>
      <c r="C978" s="45"/>
      <c r="D978" s="46"/>
      <c r="E978" s="46"/>
      <c r="F978" s="46"/>
      <c r="G978" s="46"/>
      <c r="H978" s="46"/>
      <c r="I978" s="46"/>
      <c r="J978" s="46"/>
      <c r="K978" s="46"/>
    </row>
    <row r="979" spans="1:11">
      <c r="A979" s="45"/>
      <c r="B979" s="45"/>
      <c r="C979" s="45"/>
      <c r="D979" s="46"/>
      <c r="E979" s="46"/>
      <c r="F979" s="46"/>
      <c r="G979" s="46"/>
      <c r="H979" s="46"/>
      <c r="I979" s="46"/>
      <c r="J979" s="46"/>
      <c r="K979" s="46"/>
    </row>
    <row r="980" spans="1:11">
      <c r="A980" s="45"/>
      <c r="B980" s="45"/>
      <c r="C980" s="45"/>
      <c r="D980" s="46"/>
      <c r="E980" s="46"/>
      <c r="F980" s="46"/>
      <c r="G980" s="46"/>
      <c r="H980" s="46"/>
      <c r="I980" s="46"/>
      <c r="J980" s="46"/>
      <c r="K980" s="46"/>
    </row>
    <row r="981" spans="1:11">
      <c r="A981" s="45"/>
      <c r="B981" s="45"/>
      <c r="C981" s="45"/>
      <c r="D981" s="46"/>
      <c r="E981" s="46"/>
      <c r="F981" s="46"/>
      <c r="G981" s="46"/>
      <c r="H981" s="46"/>
      <c r="I981" s="46"/>
      <c r="J981" s="46"/>
      <c r="K981" s="46"/>
    </row>
    <row r="982" spans="1:11">
      <c r="A982" s="45"/>
      <c r="B982" s="45"/>
      <c r="C982" s="45"/>
      <c r="D982" s="46"/>
      <c r="E982" s="46"/>
      <c r="F982" s="46"/>
      <c r="G982" s="46"/>
      <c r="H982" s="46"/>
      <c r="I982" s="46"/>
      <c r="J982" s="46"/>
      <c r="K982" s="46"/>
    </row>
    <row r="983" spans="1:11">
      <c r="A983" s="45"/>
      <c r="B983" s="45"/>
      <c r="C983" s="45"/>
      <c r="D983" s="46"/>
      <c r="E983" s="46"/>
      <c r="F983" s="46"/>
      <c r="G983" s="46"/>
      <c r="H983" s="46"/>
      <c r="I983" s="46"/>
      <c r="J983" s="46"/>
      <c r="K983" s="46"/>
    </row>
    <row r="984" spans="1:11">
      <c r="A984" s="45"/>
      <c r="B984" s="45"/>
      <c r="C984" s="45"/>
      <c r="D984" s="46"/>
      <c r="E984" s="46"/>
      <c r="F984" s="46"/>
      <c r="G984" s="46"/>
      <c r="H984" s="46"/>
      <c r="I984" s="46"/>
      <c r="J984" s="46"/>
      <c r="K984" s="46"/>
    </row>
    <row r="985" spans="1:11">
      <c r="A985" s="45"/>
      <c r="B985" s="45"/>
      <c r="C985" s="45"/>
      <c r="D985" s="46"/>
      <c r="E985" s="46"/>
      <c r="F985" s="46"/>
      <c r="G985" s="46"/>
      <c r="H985" s="46"/>
      <c r="I985" s="46"/>
      <c r="J985" s="46"/>
      <c r="K985" s="46"/>
    </row>
    <row r="986" spans="1:11">
      <c r="A986" s="45"/>
      <c r="B986" s="45"/>
      <c r="C986" s="45"/>
      <c r="D986" s="46"/>
      <c r="E986" s="46"/>
      <c r="F986" s="46"/>
      <c r="G986" s="46"/>
      <c r="H986" s="46"/>
      <c r="I986" s="46"/>
      <c r="J986" s="46"/>
      <c r="K986" s="46"/>
    </row>
    <row r="987" spans="1:11">
      <c r="A987" s="45"/>
      <c r="B987" s="45"/>
      <c r="C987" s="45"/>
      <c r="D987" s="46"/>
      <c r="E987" s="46"/>
      <c r="F987" s="46"/>
      <c r="G987" s="46"/>
      <c r="H987" s="46"/>
      <c r="I987" s="46"/>
      <c r="J987" s="46"/>
      <c r="K987" s="46"/>
    </row>
    <row r="988" spans="1:11">
      <c r="A988" s="45"/>
      <c r="B988" s="45"/>
      <c r="C988" s="45"/>
      <c r="D988" s="46"/>
      <c r="E988" s="46"/>
      <c r="F988" s="46"/>
      <c r="G988" s="46"/>
      <c r="H988" s="46"/>
      <c r="I988" s="46"/>
      <c r="J988" s="46"/>
      <c r="K988" s="46"/>
    </row>
    <row r="989" spans="1:11">
      <c r="A989" s="45"/>
      <c r="B989" s="45"/>
      <c r="C989" s="45"/>
      <c r="D989" s="46"/>
      <c r="E989" s="46"/>
      <c r="F989" s="46"/>
      <c r="G989" s="46"/>
      <c r="H989" s="46"/>
      <c r="I989" s="46"/>
      <c r="J989" s="46"/>
      <c r="K989" s="46"/>
    </row>
    <row r="990" spans="1:11">
      <c r="A990" s="45"/>
      <c r="B990" s="45"/>
      <c r="C990" s="45"/>
      <c r="D990" s="46"/>
      <c r="E990" s="46"/>
      <c r="F990" s="46"/>
      <c r="G990" s="46"/>
      <c r="H990" s="46"/>
      <c r="I990" s="46"/>
      <c r="J990" s="46"/>
      <c r="K990" s="46"/>
    </row>
    <row r="991" spans="1:11">
      <c r="A991" s="45"/>
      <c r="B991" s="45"/>
      <c r="C991" s="45"/>
      <c r="D991" s="46"/>
      <c r="E991" s="46"/>
      <c r="F991" s="46"/>
      <c r="G991" s="46"/>
      <c r="H991" s="46"/>
      <c r="I991" s="46"/>
      <c r="J991" s="46"/>
      <c r="K991" s="46"/>
    </row>
    <row r="992" spans="1:11">
      <c r="A992" s="45"/>
      <c r="B992" s="45"/>
      <c r="C992" s="45"/>
      <c r="D992" s="46"/>
      <c r="E992" s="46"/>
      <c r="F992" s="46"/>
      <c r="G992" s="46"/>
      <c r="H992" s="46"/>
      <c r="I992" s="46"/>
      <c r="J992" s="46"/>
      <c r="K992" s="46"/>
    </row>
    <row r="993" spans="1:11">
      <c r="A993" s="45"/>
      <c r="B993" s="45"/>
      <c r="C993" s="45"/>
      <c r="D993" s="46"/>
      <c r="E993" s="46"/>
      <c r="F993" s="46"/>
      <c r="G993" s="46"/>
      <c r="H993" s="46"/>
      <c r="I993" s="46"/>
      <c r="J993" s="46"/>
      <c r="K993" s="46"/>
    </row>
    <row r="994" spans="1:11">
      <c r="A994" s="45"/>
      <c r="B994" s="45"/>
      <c r="C994" s="45"/>
      <c r="D994" s="46"/>
      <c r="E994" s="46"/>
      <c r="F994" s="46"/>
      <c r="G994" s="46"/>
      <c r="H994" s="46"/>
      <c r="I994" s="46"/>
      <c r="J994" s="46"/>
      <c r="K994" s="46"/>
    </row>
    <row r="995" spans="1:11">
      <c r="A995" s="45"/>
      <c r="B995" s="45"/>
      <c r="C995" s="45"/>
      <c r="D995" s="46"/>
      <c r="E995" s="46"/>
      <c r="F995" s="46"/>
      <c r="G995" s="46"/>
      <c r="H995" s="46"/>
      <c r="I995" s="46"/>
      <c r="J995" s="46"/>
      <c r="K995" s="46"/>
    </row>
    <row r="996" spans="1:11">
      <c r="A996" s="45"/>
      <c r="B996" s="45"/>
      <c r="C996" s="45"/>
      <c r="D996" s="46"/>
      <c r="E996" s="46"/>
      <c r="F996" s="46"/>
      <c r="G996" s="46"/>
      <c r="H996" s="46"/>
      <c r="I996" s="46"/>
      <c r="J996" s="46"/>
      <c r="K996" s="46"/>
    </row>
    <row r="997" spans="1:11">
      <c r="A997" s="45"/>
      <c r="B997" s="45"/>
      <c r="C997" s="45"/>
      <c r="D997" s="46"/>
      <c r="E997" s="46"/>
      <c r="F997" s="46"/>
      <c r="G997" s="46"/>
      <c r="H997" s="46"/>
      <c r="I997" s="46"/>
      <c r="J997" s="46"/>
      <c r="K997" s="46"/>
    </row>
    <row r="998" spans="1:11">
      <c r="A998" s="45"/>
      <c r="B998" s="45"/>
      <c r="C998" s="45"/>
      <c r="D998" s="46"/>
      <c r="E998" s="46"/>
      <c r="F998" s="46"/>
      <c r="G998" s="46"/>
      <c r="H998" s="46"/>
      <c r="I998" s="46"/>
      <c r="J998" s="46"/>
      <c r="K998" s="46"/>
    </row>
    <row r="999" spans="1:11">
      <c r="A999" s="45"/>
      <c r="B999" s="45"/>
      <c r="C999" s="45"/>
      <c r="D999" s="46"/>
      <c r="E999" s="46"/>
      <c r="F999" s="46"/>
      <c r="G999" s="46"/>
      <c r="H999" s="46"/>
      <c r="I999" s="46"/>
      <c r="J999" s="46"/>
      <c r="K999" s="46"/>
    </row>
    <row r="1000" spans="1:11">
      <c r="A1000" s="45"/>
      <c r="B1000" s="45"/>
      <c r="C1000" s="45"/>
      <c r="D1000" s="46"/>
      <c r="E1000" s="46"/>
      <c r="F1000" s="46"/>
      <c r="G1000" s="46"/>
      <c r="H1000" s="46"/>
      <c r="I1000" s="46"/>
      <c r="J1000" s="46"/>
      <c r="K1000" s="46"/>
    </row>
    <row r="1001" spans="1:11">
      <c r="A1001" s="45"/>
      <c r="B1001" s="45"/>
      <c r="C1001" s="45"/>
      <c r="D1001" s="46"/>
      <c r="E1001" s="46"/>
      <c r="F1001" s="46"/>
      <c r="G1001" s="46"/>
      <c r="H1001" s="46"/>
      <c r="I1001" s="46"/>
      <c r="J1001" s="46"/>
      <c r="K1001" s="46"/>
    </row>
    <row r="1002" spans="1:11">
      <c r="A1002" s="45"/>
      <c r="B1002" s="45"/>
      <c r="C1002" s="45"/>
      <c r="D1002" s="46"/>
      <c r="E1002" s="46"/>
      <c r="F1002" s="46"/>
      <c r="G1002" s="46"/>
      <c r="H1002" s="46"/>
      <c r="I1002" s="46"/>
      <c r="J1002" s="46"/>
      <c r="K1002" s="46"/>
    </row>
    <row r="1003" spans="1:11">
      <c r="A1003" s="45"/>
      <c r="B1003" s="45"/>
      <c r="C1003" s="45"/>
      <c r="D1003" s="46"/>
      <c r="E1003" s="46"/>
      <c r="F1003" s="46"/>
      <c r="G1003" s="46"/>
      <c r="H1003" s="46"/>
      <c r="I1003" s="46"/>
      <c r="J1003" s="46"/>
      <c r="K1003" s="46"/>
    </row>
    <row r="1004" spans="1:11">
      <c r="A1004" s="45"/>
      <c r="B1004" s="45"/>
      <c r="C1004" s="45"/>
      <c r="D1004" s="46"/>
      <c r="E1004" s="46"/>
      <c r="F1004" s="46"/>
      <c r="G1004" s="46"/>
      <c r="H1004" s="46"/>
      <c r="I1004" s="46"/>
      <c r="J1004" s="46"/>
      <c r="K1004" s="46"/>
    </row>
    <row r="1005" spans="1:11">
      <c r="A1005" s="45"/>
      <c r="B1005" s="45"/>
      <c r="C1005" s="45"/>
      <c r="D1005" s="46"/>
      <c r="E1005" s="46"/>
      <c r="F1005" s="46"/>
      <c r="G1005" s="46"/>
      <c r="H1005" s="46"/>
      <c r="I1005" s="46"/>
      <c r="J1005" s="46"/>
      <c r="K1005" s="46"/>
    </row>
    <row r="1006" spans="1:11">
      <c r="A1006" s="45"/>
      <c r="B1006" s="45"/>
      <c r="C1006" s="45"/>
      <c r="D1006" s="46"/>
      <c r="E1006" s="46"/>
      <c r="F1006" s="46"/>
      <c r="G1006" s="46"/>
      <c r="H1006" s="46"/>
      <c r="I1006" s="46"/>
      <c r="J1006" s="46"/>
      <c r="K1006" s="46"/>
    </row>
    <row r="1007" spans="1:11">
      <c r="A1007" s="45"/>
      <c r="B1007" s="45"/>
      <c r="C1007" s="45"/>
      <c r="D1007" s="46"/>
      <c r="E1007" s="46"/>
      <c r="F1007" s="46"/>
      <c r="G1007" s="46"/>
      <c r="H1007" s="46"/>
      <c r="I1007" s="46"/>
      <c r="J1007" s="46"/>
      <c r="K1007" s="46"/>
    </row>
    <row r="1008" spans="1:11">
      <c r="A1008" s="45"/>
      <c r="B1008" s="45"/>
      <c r="C1008" s="45"/>
      <c r="D1008" s="46"/>
      <c r="E1008" s="46"/>
      <c r="F1008" s="46"/>
      <c r="G1008" s="46"/>
      <c r="H1008" s="46"/>
      <c r="I1008" s="46"/>
      <c r="J1008" s="46"/>
      <c r="K1008" s="46"/>
    </row>
    <row r="1009" spans="1:11">
      <c r="A1009" s="45"/>
      <c r="B1009" s="45"/>
      <c r="C1009" s="45"/>
      <c r="D1009" s="46"/>
      <c r="E1009" s="46"/>
      <c r="F1009" s="46"/>
      <c r="G1009" s="46"/>
      <c r="H1009" s="46"/>
      <c r="I1009" s="46"/>
      <c r="J1009" s="46"/>
      <c r="K1009" s="46"/>
    </row>
    <row r="1010" spans="1:11">
      <c r="A1010" s="45"/>
      <c r="B1010" s="45"/>
      <c r="C1010" s="45"/>
      <c r="D1010" s="46"/>
      <c r="E1010" s="46"/>
      <c r="F1010" s="46"/>
      <c r="G1010" s="46"/>
      <c r="H1010" s="46"/>
      <c r="I1010" s="46"/>
      <c r="J1010" s="46"/>
      <c r="K1010" s="46"/>
    </row>
    <row r="1011" spans="1:11">
      <c r="A1011" s="45"/>
      <c r="B1011" s="45"/>
      <c r="C1011" s="45"/>
      <c r="D1011" s="46"/>
      <c r="E1011" s="46"/>
      <c r="F1011" s="46"/>
      <c r="G1011" s="46"/>
      <c r="H1011" s="46"/>
      <c r="I1011" s="46"/>
      <c r="J1011" s="46"/>
      <c r="K1011" s="46"/>
    </row>
    <row r="1012" spans="1:11">
      <c r="A1012" s="45"/>
      <c r="B1012" s="45"/>
      <c r="C1012" s="45"/>
      <c r="D1012" s="46"/>
      <c r="E1012" s="46"/>
      <c r="F1012" s="46"/>
      <c r="G1012" s="46"/>
      <c r="H1012" s="46"/>
      <c r="I1012" s="46"/>
      <c r="J1012" s="46"/>
      <c r="K1012" s="46"/>
    </row>
    <row r="1013" spans="1:11">
      <c r="A1013" s="45"/>
      <c r="B1013" s="45"/>
      <c r="C1013" s="45"/>
      <c r="D1013" s="46"/>
      <c r="E1013" s="46"/>
      <c r="F1013" s="46"/>
      <c r="G1013" s="46"/>
      <c r="H1013" s="46"/>
      <c r="I1013" s="46"/>
      <c r="J1013" s="46"/>
      <c r="K1013" s="46"/>
    </row>
    <row r="1014" spans="1:11">
      <c r="A1014" s="45"/>
      <c r="B1014" s="45"/>
      <c r="C1014" s="45"/>
      <c r="D1014" s="46"/>
      <c r="E1014" s="46"/>
      <c r="F1014" s="46"/>
      <c r="G1014" s="46"/>
      <c r="H1014" s="46"/>
      <c r="I1014" s="46"/>
      <c r="J1014" s="46"/>
      <c r="K1014" s="46"/>
    </row>
    <row r="1015" spans="1:11">
      <c r="A1015" s="45"/>
      <c r="B1015" s="45"/>
      <c r="C1015" s="45"/>
      <c r="D1015" s="46"/>
      <c r="E1015" s="46"/>
      <c r="F1015" s="46"/>
      <c r="G1015" s="46"/>
      <c r="H1015" s="46"/>
      <c r="I1015" s="46"/>
      <c r="J1015" s="46"/>
      <c r="K1015" s="46"/>
    </row>
    <row r="1016" spans="1:11">
      <c r="A1016" s="45"/>
      <c r="B1016" s="45"/>
      <c r="C1016" s="45"/>
      <c r="D1016" s="46"/>
      <c r="E1016" s="46"/>
      <c r="F1016" s="46"/>
      <c r="G1016" s="46"/>
      <c r="H1016" s="46"/>
      <c r="I1016" s="46"/>
      <c r="J1016" s="46"/>
      <c r="K1016" s="46"/>
    </row>
    <row r="1017" spans="1:11">
      <c r="A1017" s="45"/>
      <c r="B1017" s="45"/>
      <c r="C1017" s="45"/>
      <c r="D1017" s="46"/>
      <c r="E1017" s="46"/>
      <c r="F1017" s="46"/>
      <c r="G1017" s="46"/>
      <c r="H1017" s="46"/>
      <c r="I1017" s="46"/>
      <c r="J1017" s="46"/>
      <c r="K1017" s="46"/>
    </row>
    <row r="1018" spans="1:11">
      <c r="A1018" s="45"/>
      <c r="B1018" s="45"/>
      <c r="C1018" s="45"/>
      <c r="D1018" s="46"/>
      <c r="E1018" s="46"/>
      <c r="F1018" s="46"/>
      <c r="G1018" s="46"/>
      <c r="H1018" s="46"/>
      <c r="I1018" s="46"/>
      <c r="J1018" s="46"/>
      <c r="K1018" s="46"/>
    </row>
    <row r="1019" spans="1:11">
      <c r="A1019" s="45"/>
      <c r="B1019" s="45"/>
      <c r="C1019" s="45"/>
      <c r="D1019" s="46"/>
      <c r="E1019" s="46"/>
      <c r="F1019" s="46"/>
      <c r="G1019" s="46"/>
      <c r="H1019" s="46"/>
      <c r="I1019" s="46"/>
      <c r="J1019" s="46"/>
      <c r="K1019" s="46"/>
    </row>
    <row r="1020" spans="1:11">
      <c r="A1020" s="45"/>
      <c r="B1020" s="45"/>
      <c r="C1020" s="45"/>
      <c r="D1020" s="46"/>
      <c r="E1020" s="46"/>
      <c r="F1020" s="46"/>
      <c r="G1020" s="46"/>
      <c r="H1020" s="46"/>
      <c r="I1020" s="46"/>
      <c r="J1020" s="46"/>
      <c r="K1020" s="46"/>
    </row>
    <row r="1021" spans="1:11">
      <c r="A1021" s="45"/>
      <c r="B1021" s="45"/>
      <c r="C1021" s="45"/>
      <c r="D1021" s="46"/>
      <c r="E1021" s="46"/>
      <c r="F1021" s="46"/>
      <c r="G1021" s="46"/>
      <c r="H1021" s="46"/>
      <c r="I1021" s="46"/>
      <c r="J1021" s="46"/>
      <c r="K1021" s="46"/>
    </row>
    <row r="1022" spans="1:11">
      <c r="A1022" s="45"/>
      <c r="B1022" s="45"/>
      <c r="C1022" s="45"/>
      <c r="D1022" s="46"/>
      <c r="E1022" s="46"/>
      <c r="F1022" s="46"/>
      <c r="G1022" s="46"/>
      <c r="H1022" s="46"/>
      <c r="I1022" s="46"/>
      <c r="J1022" s="46"/>
      <c r="K1022" s="46"/>
    </row>
    <row r="1023" spans="1:11">
      <c r="A1023" s="45"/>
      <c r="B1023" s="45"/>
      <c r="C1023" s="45"/>
      <c r="D1023" s="46"/>
      <c r="E1023" s="46"/>
      <c r="F1023" s="46"/>
      <c r="G1023" s="46"/>
      <c r="H1023" s="46"/>
      <c r="I1023" s="46"/>
      <c r="J1023" s="46"/>
      <c r="K1023" s="46"/>
    </row>
    <row r="1024" spans="1:11">
      <c r="A1024" s="45"/>
      <c r="B1024" s="45"/>
      <c r="C1024" s="45"/>
      <c r="D1024" s="46"/>
      <c r="E1024" s="46"/>
      <c r="F1024" s="46"/>
      <c r="G1024" s="46"/>
      <c r="H1024" s="46"/>
      <c r="I1024" s="46"/>
      <c r="J1024" s="46"/>
      <c r="K1024" s="46"/>
    </row>
    <row r="1025" spans="1:11">
      <c r="A1025" s="45"/>
      <c r="B1025" s="45"/>
      <c r="C1025" s="45"/>
      <c r="D1025" s="46"/>
      <c r="E1025" s="46"/>
      <c r="F1025" s="46"/>
      <c r="G1025" s="46"/>
      <c r="H1025" s="46"/>
      <c r="I1025" s="46"/>
      <c r="J1025" s="46"/>
      <c r="K1025" s="46"/>
    </row>
    <row r="1026" spans="1:11">
      <c r="A1026" s="45"/>
      <c r="B1026" s="45"/>
      <c r="C1026" s="45"/>
      <c r="D1026" s="46"/>
      <c r="E1026" s="46"/>
      <c r="F1026" s="46"/>
      <c r="G1026" s="46"/>
      <c r="H1026" s="46"/>
      <c r="I1026" s="46"/>
      <c r="J1026" s="46"/>
      <c r="K1026" s="46"/>
    </row>
    <row r="1027" spans="1:11">
      <c r="A1027" s="45"/>
      <c r="B1027" s="45"/>
      <c r="C1027" s="45"/>
      <c r="D1027" s="46"/>
      <c r="E1027" s="46"/>
      <c r="F1027" s="46"/>
      <c r="G1027" s="46"/>
      <c r="H1027" s="46"/>
      <c r="I1027" s="46"/>
      <c r="J1027" s="46"/>
      <c r="K1027" s="46"/>
    </row>
    <row r="1028" spans="1:11">
      <c r="A1028" s="45"/>
      <c r="B1028" s="45"/>
      <c r="C1028" s="45"/>
      <c r="D1028" s="46"/>
      <c r="E1028" s="46"/>
      <c r="F1028" s="46"/>
      <c r="G1028" s="46"/>
      <c r="H1028" s="46"/>
      <c r="I1028" s="46"/>
      <c r="J1028" s="46"/>
      <c r="K1028" s="46"/>
    </row>
    <row r="1029" spans="1:11">
      <c r="A1029" s="45"/>
      <c r="B1029" s="45"/>
      <c r="C1029" s="45"/>
      <c r="D1029" s="46"/>
      <c r="E1029" s="46"/>
      <c r="F1029" s="46"/>
      <c r="G1029" s="46"/>
      <c r="H1029" s="46"/>
      <c r="I1029" s="46"/>
      <c r="J1029" s="46"/>
      <c r="K1029" s="46"/>
    </row>
    <row r="1030" spans="1:11">
      <c r="A1030" s="45"/>
      <c r="B1030" s="45"/>
      <c r="C1030" s="45"/>
      <c r="D1030" s="46"/>
      <c r="E1030" s="46"/>
      <c r="F1030" s="46"/>
      <c r="G1030" s="46"/>
      <c r="H1030" s="46"/>
      <c r="I1030" s="46"/>
      <c r="J1030" s="46"/>
      <c r="K1030" s="46"/>
    </row>
    <row r="1031" spans="1:11">
      <c r="A1031" s="45"/>
      <c r="B1031" s="45"/>
      <c r="C1031" s="45"/>
      <c r="D1031" s="46"/>
      <c r="E1031" s="46"/>
      <c r="F1031" s="46"/>
      <c r="G1031" s="46"/>
      <c r="H1031" s="46"/>
      <c r="I1031" s="46"/>
      <c r="J1031" s="46"/>
      <c r="K1031" s="46"/>
    </row>
    <row r="1032" spans="1:11">
      <c r="A1032" s="45"/>
      <c r="B1032" s="45"/>
      <c r="C1032" s="45"/>
      <c r="D1032" s="46"/>
      <c r="E1032" s="46"/>
      <c r="F1032" s="46"/>
      <c r="G1032" s="46"/>
      <c r="H1032" s="46"/>
      <c r="I1032" s="46"/>
      <c r="J1032" s="46"/>
      <c r="K1032" s="46"/>
    </row>
    <row r="1033" spans="1:11">
      <c r="A1033" s="45"/>
      <c r="B1033" s="45"/>
      <c r="C1033" s="45"/>
      <c r="D1033" s="46"/>
      <c r="E1033" s="46"/>
      <c r="F1033" s="46"/>
      <c r="G1033" s="46"/>
      <c r="H1033" s="46"/>
      <c r="I1033" s="46"/>
      <c r="J1033" s="46"/>
      <c r="K1033" s="46"/>
    </row>
    <row r="1034" spans="1:11">
      <c r="A1034" s="45"/>
      <c r="B1034" s="45"/>
      <c r="C1034" s="45"/>
      <c r="D1034" s="46"/>
      <c r="E1034" s="46"/>
      <c r="F1034" s="46"/>
      <c r="G1034" s="46"/>
      <c r="H1034" s="46"/>
      <c r="I1034" s="46"/>
      <c r="J1034" s="46"/>
      <c r="K1034" s="46"/>
    </row>
    <row r="1035" spans="1:11">
      <c r="A1035" s="45"/>
      <c r="B1035" s="45"/>
      <c r="C1035" s="45"/>
      <c r="D1035" s="46"/>
      <c r="E1035" s="46"/>
      <c r="F1035" s="46"/>
      <c r="G1035" s="46"/>
      <c r="H1035" s="46"/>
      <c r="I1035" s="46"/>
      <c r="J1035" s="46"/>
      <c r="K1035" s="46"/>
    </row>
    <row r="1036" spans="1:11">
      <c r="A1036" s="45"/>
      <c r="B1036" s="45"/>
      <c r="C1036" s="45"/>
      <c r="D1036" s="46"/>
      <c r="E1036" s="46"/>
      <c r="F1036" s="46"/>
      <c r="G1036" s="46"/>
      <c r="H1036" s="46"/>
      <c r="I1036" s="46"/>
      <c r="J1036" s="46"/>
      <c r="K1036" s="46"/>
    </row>
    <row r="1037" spans="1:11">
      <c r="A1037" s="45"/>
      <c r="B1037" s="45"/>
      <c r="C1037" s="45"/>
      <c r="D1037" s="46"/>
      <c r="E1037" s="46"/>
      <c r="F1037" s="46"/>
      <c r="G1037" s="46"/>
      <c r="H1037" s="46"/>
      <c r="I1037" s="46"/>
      <c r="J1037" s="46"/>
      <c r="K1037" s="46"/>
    </row>
    <row r="1038" spans="1:11">
      <c r="A1038" s="45"/>
      <c r="B1038" s="45"/>
      <c r="C1038" s="45"/>
      <c r="D1038" s="46"/>
      <c r="E1038" s="46"/>
      <c r="F1038" s="46"/>
      <c r="G1038" s="46"/>
      <c r="H1038" s="46"/>
      <c r="I1038" s="46"/>
      <c r="J1038" s="46"/>
      <c r="K1038" s="46"/>
    </row>
    <row r="1039" spans="1:11">
      <c r="A1039" s="45"/>
      <c r="B1039" s="45"/>
      <c r="C1039" s="45"/>
      <c r="D1039" s="46"/>
      <c r="E1039" s="46"/>
      <c r="F1039" s="46"/>
      <c r="G1039" s="46"/>
      <c r="H1039" s="46"/>
      <c r="I1039" s="46"/>
      <c r="J1039" s="46"/>
      <c r="K1039" s="46"/>
    </row>
    <row r="1040" spans="1:11">
      <c r="A1040" s="45"/>
      <c r="B1040" s="45"/>
      <c r="C1040" s="45"/>
      <c r="D1040" s="46"/>
      <c r="E1040" s="46"/>
      <c r="F1040" s="46"/>
      <c r="G1040" s="46"/>
      <c r="H1040" s="46"/>
      <c r="I1040" s="46"/>
      <c r="J1040" s="46"/>
      <c r="K1040" s="46"/>
    </row>
    <row r="1041" spans="1:11">
      <c r="A1041" s="45"/>
      <c r="B1041" s="45"/>
      <c r="C1041" s="45"/>
      <c r="D1041" s="46"/>
      <c r="E1041" s="46"/>
      <c r="F1041" s="46"/>
      <c r="G1041" s="46"/>
      <c r="H1041" s="46"/>
      <c r="I1041" s="46"/>
      <c r="J1041" s="46"/>
      <c r="K1041" s="46"/>
    </row>
    <row r="1042" spans="1:11">
      <c r="A1042" s="45"/>
      <c r="B1042" s="45"/>
      <c r="C1042" s="45"/>
      <c r="D1042" s="46"/>
      <c r="E1042" s="46"/>
      <c r="F1042" s="46"/>
      <c r="G1042" s="46"/>
      <c r="H1042" s="46"/>
      <c r="I1042" s="46"/>
      <c r="J1042" s="46"/>
      <c r="K1042" s="46"/>
    </row>
    <row r="1043" spans="1:11">
      <c r="A1043" s="45"/>
      <c r="B1043" s="45"/>
      <c r="C1043" s="45"/>
      <c r="D1043" s="46"/>
      <c r="E1043" s="46"/>
      <c r="F1043" s="46"/>
      <c r="G1043" s="46"/>
      <c r="H1043" s="46"/>
      <c r="I1043" s="46"/>
      <c r="J1043" s="46"/>
      <c r="K1043" s="46"/>
    </row>
    <row r="1044" spans="1:11">
      <c r="A1044" s="45"/>
      <c r="B1044" s="45"/>
      <c r="C1044" s="45"/>
      <c r="D1044" s="46"/>
      <c r="E1044" s="46"/>
      <c r="F1044" s="46"/>
      <c r="G1044" s="46"/>
      <c r="H1044" s="46"/>
      <c r="I1044" s="46"/>
      <c r="J1044" s="46"/>
      <c r="K1044" s="46"/>
    </row>
    <row r="1045" spans="1:11">
      <c r="A1045" s="45"/>
      <c r="B1045" s="45"/>
      <c r="C1045" s="45"/>
      <c r="D1045" s="46"/>
      <c r="E1045" s="46"/>
      <c r="F1045" s="46"/>
      <c r="G1045" s="46"/>
      <c r="H1045" s="46"/>
      <c r="I1045" s="46"/>
      <c r="J1045" s="46"/>
      <c r="K1045" s="46"/>
    </row>
    <row r="1046" spans="1:11">
      <c r="A1046" s="45"/>
      <c r="B1046" s="45"/>
      <c r="C1046" s="45"/>
      <c r="D1046" s="46"/>
      <c r="E1046" s="46"/>
      <c r="F1046" s="46"/>
      <c r="G1046" s="46"/>
      <c r="H1046" s="46"/>
      <c r="I1046" s="46"/>
      <c r="J1046" s="46"/>
      <c r="K1046" s="46"/>
    </row>
    <row r="1047" spans="1:11">
      <c r="A1047" s="45"/>
      <c r="B1047" s="45"/>
      <c r="C1047" s="45"/>
      <c r="D1047" s="46"/>
      <c r="E1047" s="46"/>
      <c r="F1047" s="46"/>
      <c r="G1047" s="46"/>
      <c r="H1047" s="46"/>
      <c r="I1047" s="46"/>
      <c r="J1047" s="46"/>
      <c r="K1047" s="46"/>
    </row>
    <row r="1048" spans="1:11">
      <c r="A1048" s="45"/>
      <c r="B1048" s="45"/>
      <c r="C1048" s="45"/>
      <c r="D1048" s="46"/>
      <c r="E1048" s="46"/>
      <c r="F1048" s="46"/>
      <c r="G1048" s="46"/>
      <c r="H1048" s="46"/>
      <c r="I1048" s="46"/>
      <c r="J1048" s="46"/>
      <c r="K1048" s="46"/>
    </row>
    <row r="1049" spans="1:11">
      <c r="A1049" s="45"/>
      <c r="B1049" s="45"/>
      <c r="C1049" s="45"/>
      <c r="D1049" s="46"/>
      <c r="E1049" s="46"/>
      <c r="F1049" s="46"/>
      <c r="G1049" s="46"/>
      <c r="H1049" s="46"/>
      <c r="I1049" s="46"/>
      <c r="J1049" s="46"/>
      <c r="K1049" s="46"/>
    </row>
    <row r="1050" spans="1:11">
      <c r="A1050" s="45"/>
      <c r="B1050" s="45"/>
      <c r="C1050" s="45"/>
      <c r="D1050" s="46"/>
      <c r="E1050" s="46"/>
      <c r="F1050" s="46"/>
      <c r="G1050" s="46"/>
      <c r="H1050" s="46"/>
      <c r="I1050" s="46"/>
      <c r="J1050" s="46"/>
      <c r="K1050" s="46"/>
    </row>
    <row r="1051" spans="1:11">
      <c r="A1051" s="45"/>
      <c r="B1051" s="45"/>
      <c r="C1051" s="45"/>
      <c r="D1051" s="46"/>
      <c r="E1051" s="46"/>
      <c r="F1051" s="46"/>
      <c r="G1051" s="46"/>
      <c r="H1051" s="46"/>
      <c r="I1051" s="46"/>
      <c r="J1051" s="46"/>
      <c r="K1051" s="46"/>
    </row>
    <row r="1052" spans="1:11">
      <c r="A1052" s="45"/>
      <c r="B1052" s="45"/>
      <c r="C1052" s="45"/>
      <c r="D1052" s="46"/>
      <c r="E1052" s="46"/>
      <c r="F1052" s="46"/>
      <c r="G1052" s="46"/>
      <c r="H1052" s="46"/>
      <c r="I1052" s="46"/>
      <c r="J1052" s="46"/>
      <c r="K1052" s="46"/>
    </row>
    <row r="1053" spans="1:11">
      <c r="A1053" s="45"/>
      <c r="B1053" s="45"/>
      <c r="C1053" s="45"/>
      <c r="D1053" s="46"/>
      <c r="E1053" s="46"/>
      <c r="F1053" s="46"/>
      <c r="G1053" s="46"/>
      <c r="H1053" s="46"/>
      <c r="I1053" s="46"/>
      <c r="J1053" s="46"/>
      <c r="K1053" s="46"/>
    </row>
    <row r="1054" spans="1:11">
      <c r="A1054" s="45"/>
      <c r="B1054" s="45"/>
      <c r="C1054" s="45"/>
      <c r="D1054" s="46"/>
      <c r="E1054" s="46"/>
      <c r="F1054" s="46"/>
      <c r="G1054" s="46"/>
      <c r="H1054" s="46"/>
      <c r="I1054" s="46"/>
      <c r="J1054" s="46"/>
      <c r="K1054" s="46"/>
    </row>
    <row r="1055" spans="1:11">
      <c r="A1055" s="45"/>
      <c r="B1055" s="45"/>
      <c r="C1055" s="45"/>
      <c r="D1055" s="46"/>
      <c r="E1055" s="46"/>
      <c r="F1055" s="46"/>
      <c r="G1055" s="46"/>
      <c r="H1055" s="46"/>
      <c r="I1055" s="46"/>
      <c r="J1055" s="46"/>
      <c r="K1055" s="46"/>
    </row>
    <row r="1056" spans="1:11">
      <c r="A1056" s="45"/>
      <c r="B1056" s="45"/>
      <c r="C1056" s="45"/>
      <c r="D1056" s="46"/>
      <c r="E1056" s="46"/>
      <c r="F1056" s="46"/>
      <c r="G1056" s="46"/>
      <c r="H1056" s="46"/>
      <c r="I1056" s="46"/>
      <c r="J1056" s="46"/>
      <c r="K1056" s="46"/>
    </row>
    <row r="1057" spans="1:11">
      <c r="A1057" s="45"/>
      <c r="B1057" s="45"/>
      <c r="C1057" s="45"/>
      <c r="D1057" s="46"/>
      <c r="E1057" s="46"/>
      <c r="F1057" s="46"/>
      <c r="G1057" s="46"/>
      <c r="H1057" s="46"/>
      <c r="I1057" s="46"/>
      <c r="J1057" s="46"/>
      <c r="K1057" s="46"/>
    </row>
    <row r="1058" spans="1:11">
      <c r="A1058" s="45"/>
      <c r="B1058" s="45"/>
      <c r="C1058" s="45"/>
      <c r="D1058" s="46"/>
      <c r="E1058" s="46"/>
      <c r="F1058" s="46"/>
      <c r="G1058" s="46"/>
      <c r="H1058" s="46"/>
      <c r="I1058" s="46"/>
      <c r="J1058" s="46"/>
      <c r="K1058" s="46"/>
    </row>
    <row r="1059" spans="1:11">
      <c r="A1059" s="45"/>
      <c r="B1059" s="45"/>
      <c r="C1059" s="45"/>
      <c r="D1059" s="46"/>
      <c r="E1059" s="46"/>
      <c r="F1059" s="46"/>
      <c r="G1059" s="46"/>
      <c r="H1059" s="46"/>
      <c r="I1059" s="46"/>
      <c r="J1059" s="46"/>
      <c r="K1059" s="46"/>
    </row>
    <row r="1060" spans="1:11">
      <c r="A1060" s="45"/>
      <c r="B1060" s="45"/>
      <c r="C1060" s="45"/>
      <c r="D1060" s="46"/>
      <c r="E1060" s="46"/>
      <c r="F1060" s="46"/>
      <c r="G1060" s="46"/>
      <c r="H1060" s="46"/>
      <c r="I1060" s="46"/>
      <c r="J1060" s="46"/>
      <c r="K1060" s="46"/>
    </row>
    <row r="1061" spans="1:11">
      <c r="A1061" s="45"/>
      <c r="B1061" s="45"/>
      <c r="C1061" s="45"/>
      <c r="D1061" s="46"/>
      <c r="E1061" s="46"/>
      <c r="F1061" s="46"/>
      <c r="G1061" s="46"/>
      <c r="H1061" s="46"/>
      <c r="I1061" s="46"/>
      <c r="J1061" s="46"/>
      <c r="K1061" s="46"/>
    </row>
    <row r="1062" spans="1:11">
      <c r="A1062" s="45"/>
      <c r="B1062" s="45"/>
      <c r="C1062" s="45"/>
      <c r="D1062" s="46"/>
      <c r="E1062" s="46"/>
      <c r="F1062" s="46"/>
      <c r="G1062" s="46"/>
      <c r="H1062" s="46"/>
      <c r="I1062" s="46"/>
      <c r="J1062" s="46"/>
      <c r="K1062" s="46"/>
    </row>
    <row r="1063" spans="1:11">
      <c r="A1063" s="45"/>
      <c r="B1063" s="45"/>
      <c r="C1063" s="45"/>
      <c r="D1063" s="46"/>
      <c r="E1063" s="46"/>
      <c r="F1063" s="46"/>
      <c r="G1063" s="46"/>
      <c r="H1063" s="46"/>
      <c r="I1063" s="46"/>
      <c r="J1063" s="46"/>
      <c r="K1063" s="46"/>
    </row>
    <row r="1064" spans="1:11">
      <c r="A1064" s="45"/>
      <c r="B1064" s="45"/>
      <c r="C1064" s="45"/>
      <c r="D1064" s="46"/>
      <c r="E1064" s="46"/>
      <c r="F1064" s="46"/>
      <c r="G1064" s="46"/>
      <c r="H1064" s="46"/>
      <c r="I1064" s="46"/>
      <c r="J1064" s="46"/>
      <c r="K1064" s="46"/>
    </row>
    <row r="1065" spans="1:11">
      <c r="A1065" s="45"/>
      <c r="B1065" s="45"/>
      <c r="C1065" s="45"/>
      <c r="D1065" s="46"/>
      <c r="E1065" s="46"/>
      <c r="F1065" s="46"/>
      <c r="G1065" s="46"/>
      <c r="H1065" s="46"/>
      <c r="I1065" s="46"/>
      <c r="J1065" s="46"/>
      <c r="K1065" s="46"/>
    </row>
    <row r="1066" spans="1:11">
      <c r="A1066" s="45"/>
      <c r="B1066" s="45"/>
      <c r="C1066" s="45"/>
      <c r="D1066" s="46"/>
      <c r="E1066" s="46"/>
      <c r="F1066" s="46"/>
      <c r="G1066" s="46"/>
      <c r="H1066" s="46"/>
      <c r="I1066" s="46"/>
      <c r="J1066" s="46"/>
      <c r="K1066" s="46"/>
    </row>
    <row r="1067" spans="1:11">
      <c r="A1067" s="45"/>
      <c r="B1067" s="45"/>
      <c r="C1067" s="45"/>
      <c r="D1067" s="46"/>
      <c r="E1067" s="46"/>
      <c r="F1067" s="46"/>
      <c r="G1067" s="46"/>
      <c r="H1067" s="46"/>
      <c r="I1067" s="46"/>
      <c r="J1067" s="46"/>
      <c r="K1067" s="46"/>
    </row>
    <row r="1068" spans="1:11">
      <c r="A1068" s="45"/>
      <c r="B1068" s="45"/>
      <c r="C1068" s="45"/>
      <c r="D1068" s="46"/>
      <c r="E1068" s="46"/>
      <c r="F1068" s="46"/>
      <c r="G1068" s="46"/>
      <c r="H1068" s="46"/>
      <c r="I1068" s="46"/>
      <c r="J1068" s="46"/>
      <c r="K1068" s="46"/>
    </row>
    <row r="1069" spans="1:11">
      <c r="A1069" s="45"/>
      <c r="B1069" s="45"/>
      <c r="C1069" s="45"/>
      <c r="D1069" s="46"/>
      <c r="E1069" s="46"/>
      <c r="F1069" s="46"/>
      <c r="G1069" s="46"/>
      <c r="H1069" s="46"/>
      <c r="I1069" s="46"/>
      <c r="J1069" s="46"/>
      <c r="K1069" s="46"/>
    </row>
    <row r="1070" spans="1:11">
      <c r="A1070" s="45"/>
      <c r="B1070" s="45"/>
      <c r="C1070" s="45"/>
      <c r="D1070" s="46"/>
      <c r="E1070" s="46"/>
      <c r="F1070" s="46"/>
      <c r="G1070" s="46"/>
      <c r="H1070" s="46"/>
      <c r="I1070" s="46"/>
      <c r="J1070" s="46"/>
      <c r="K1070" s="46"/>
    </row>
    <row r="1071" spans="1:11">
      <c r="A1071" s="45"/>
      <c r="B1071" s="45"/>
      <c r="C1071" s="45"/>
      <c r="D1071" s="46"/>
      <c r="E1071" s="46"/>
      <c r="F1071" s="46"/>
      <c r="G1071" s="46"/>
      <c r="H1071" s="46"/>
      <c r="I1071" s="46"/>
      <c r="J1071" s="46"/>
      <c r="K1071" s="46"/>
    </row>
    <row r="1072" spans="1:11">
      <c r="A1072" s="45"/>
      <c r="B1072" s="45"/>
      <c r="C1072" s="45"/>
      <c r="D1072" s="46"/>
      <c r="E1072" s="46"/>
      <c r="F1072" s="46"/>
      <c r="G1072" s="46"/>
      <c r="H1072" s="46"/>
      <c r="I1072" s="46"/>
      <c r="J1072" s="46"/>
      <c r="K1072" s="46"/>
    </row>
    <row r="1073" spans="1:11">
      <c r="A1073" s="45"/>
      <c r="B1073" s="45"/>
      <c r="C1073" s="45"/>
      <c r="D1073" s="46"/>
      <c r="E1073" s="46"/>
      <c r="F1073" s="46"/>
      <c r="G1073" s="46"/>
      <c r="H1073" s="46"/>
      <c r="I1073" s="46"/>
      <c r="J1073" s="46"/>
      <c r="K1073" s="46"/>
    </row>
    <row r="1074" spans="1:11">
      <c r="A1074" s="45"/>
      <c r="B1074" s="45"/>
      <c r="C1074" s="45"/>
      <c r="D1074" s="46"/>
      <c r="E1074" s="46"/>
      <c r="F1074" s="46"/>
      <c r="G1074" s="46"/>
      <c r="H1074" s="46"/>
      <c r="I1074" s="46"/>
      <c r="J1074" s="46"/>
      <c r="K1074" s="46"/>
    </row>
    <row r="1075" spans="1:11">
      <c r="A1075" s="45"/>
      <c r="B1075" s="45"/>
      <c r="C1075" s="45"/>
      <c r="D1075" s="46"/>
      <c r="E1075" s="46"/>
      <c r="F1075" s="46"/>
      <c r="G1075" s="46"/>
      <c r="H1075" s="46"/>
      <c r="I1075" s="46"/>
      <c r="J1075" s="46"/>
      <c r="K1075" s="46"/>
    </row>
    <row r="1076" spans="1:11">
      <c r="A1076" s="45"/>
      <c r="B1076" s="45"/>
      <c r="C1076" s="45"/>
      <c r="D1076" s="46"/>
      <c r="E1076" s="46"/>
      <c r="F1076" s="46"/>
      <c r="G1076" s="46"/>
      <c r="H1076" s="46"/>
      <c r="I1076" s="46"/>
      <c r="J1076" s="46"/>
      <c r="K1076" s="46"/>
    </row>
    <row r="1077" spans="1:11">
      <c r="A1077" s="45"/>
      <c r="B1077" s="45"/>
      <c r="C1077" s="45"/>
      <c r="D1077" s="46"/>
      <c r="E1077" s="46"/>
      <c r="F1077" s="46"/>
      <c r="G1077" s="46"/>
      <c r="H1077" s="46"/>
      <c r="I1077" s="46"/>
      <c r="J1077" s="46"/>
      <c r="K1077" s="46"/>
    </row>
    <row r="1078" spans="1:11">
      <c r="A1078" s="45"/>
      <c r="B1078" s="45"/>
      <c r="C1078" s="45"/>
      <c r="D1078" s="46"/>
      <c r="E1078" s="46"/>
      <c r="F1078" s="46"/>
      <c r="G1078" s="46"/>
      <c r="H1078" s="46"/>
      <c r="I1078" s="46"/>
      <c r="J1078" s="46"/>
      <c r="K1078" s="46"/>
    </row>
    <row r="1079" spans="1:11">
      <c r="A1079" s="45"/>
      <c r="B1079" s="45"/>
      <c r="C1079" s="45"/>
      <c r="D1079" s="46"/>
      <c r="E1079" s="46"/>
      <c r="F1079" s="46"/>
      <c r="G1079" s="46"/>
      <c r="H1079" s="46"/>
      <c r="I1079" s="46"/>
      <c r="J1079" s="46"/>
      <c r="K1079" s="46"/>
    </row>
    <row r="1080" spans="1:11">
      <c r="A1080" s="45"/>
      <c r="B1080" s="45"/>
      <c r="C1080" s="45"/>
      <c r="D1080" s="46"/>
      <c r="E1080" s="46"/>
      <c r="F1080" s="46"/>
      <c r="G1080" s="46"/>
      <c r="H1080" s="46"/>
      <c r="I1080" s="46"/>
      <c r="J1080" s="46"/>
      <c r="K1080" s="46"/>
    </row>
    <row r="1081" spans="1:11">
      <c r="A1081" s="45"/>
      <c r="B1081" s="45"/>
      <c r="C1081" s="45"/>
      <c r="D1081" s="46"/>
      <c r="E1081" s="46"/>
      <c r="F1081" s="46"/>
      <c r="G1081" s="46"/>
      <c r="H1081" s="46"/>
      <c r="I1081" s="46"/>
      <c r="J1081" s="46"/>
      <c r="K1081" s="46"/>
    </row>
    <row r="1082" spans="1:11">
      <c r="A1082" s="45"/>
      <c r="B1082" s="45"/>
      <c r="C1082" s="45"/>
      <c r="D1082" s="46"/>
      <c r="E1082" s="46"/>
      <c r="F1082" s="46"/>
      <c r="G1082" s="46"/>
      <c r="H1082" s="46"/>
      <c r="I1082" s="46"/>
      <c r="J1082" s="46"/>
      <c r="K1082" s="46"/>
    </row>
    <row r="1083" spans="1:11">
      <c r="A1083" s="45"/>
      <c r="B1083" s="45"/>
      <c r="C1083" s="45"/>
      <c r="D1083" s="46"/>
      <c r="E1083" s="46"/>
      <c r="F1083" s="46"/>
      <c r="G1083" s="46"/>
      <c r="H1083" s="46"/>
      <c r="I1083" s="46"/>
      <c r="J1083" s="46"/>
      <c r="K1083" s="46"/>
    </row>
    <row r="1084" spans="1:11">
      <c r="A1084" s="45"/>
      <c r="B1084" s="45"/>
      <c r="C1084" s="45"/>
      <c r="D1084" s="46"/>
      <c r="E1084" s="46"/>
      <c r="F1084" s="46"/>
      <c r="G1084" s="46"/>
      <c r="H1084" s="46"/>
      <c r="I1084" s="46"/>
      <c r="J1084" s="46"/>
      <c r="K1084" s="46"/>
    </row>
    <row r="1085" spans="1:11">
      <c r="A1085" s="45"/>
      <c r="B1085" s="45"/>
      <c r="C1085" s="45"/>
      <c r="D1085" s="46"/>
      <c r="E1085" s="46"/>
      <c r="F1085" s="46"/>
      <c r="G1085" s="46"/>
      <c r="H1085" s="46"/>
      <c r="I1085" s="46"/>
      <c r="J1085" s="46"/>
      <c r="K1085" s="46"/>
    </row>
    <row r="1086" spans="1:11">
      <c r="A1086" s="45"/>
      <c r="B1086" s="45"/>
      <c r="C1086" s="45"/>
      <c r="D1086" s="46"/>
      <c r="E1086" s="46"/>
      <c r="F1086" s="46"/>
      <c r="G1086" s="46"/>
      <c r="H1086" s="46"/>
      <c r="I1086" s="46"/>
      <c r="J1086" s="46"/>
      <c r="K1086" s="46"/>
    </row>
    <row r="1087" spans="1:11">
      <c r="A1087" s="45"/>
      <c r="B1087" s="45"/>
      <c r="C1087" s="45"/>
      <c r="D1087" s="46"/>
      <c r="E1087" s="46"/>
      <c r="F1087" s="46"/>
      <c r="G1087" s="46"/>
      <c r="H1087" s="46"/>
      <c r="I1087" s="46"/>
      <c r="J1087" s="46"/>
      <c r="K1087" s="46"/>
    </row>
    <row r="1088" spans="1:11">
      <c r="A1088" s="45"/>
      <c r="B1088" s="45"/>
      <c r="C1088" s="45"/>
      <c r="D1088" s="46"/>
      <c r="E1088" s="46"/>
      <c r="F1088" s="46"/>
      <c r="G1088" s="46"/>
      <c r="H1088" s="46"/>
      <c r="I1088" s="46"/>
      <c r="J1088" s="46"/>
      <c r="K1088" s="46"/>
    </row>
    <row r="1089" spans="1:11">
      <c r="A1089" s="45"/>
      <c r="B1089" s="45"/>
      <c r="C1089" s="45"/>
      <c r="D1089" s="46"/>
      <c r="E1089" s="46"/>
      <c r="F1089" s="46"/>
      <c r="G1089" s="46"/>
      <c r="H1089" s="46"/>
      <c r="I1089" s="46"/>
      <c r="J1089" s="46"/>
      <c r="K1089" s="46"/>
    </row>
    <row r="1090" spans="1:11">
      <c r="A1090" s="45"/>
      <c r="B1090" s="45"/>
      <c r="C1090" s="45"/>
      <c r="D1090" s="46"/>
      <c r="E1090" s="46"/>
      <c r="F1090" s="46"/>
      <c r="G1090" s="46"/>
      <c r="H1090" s="46"/>
      <c r="I1090" s="46"/>
      <c r="J1090" s="46"/>
      <c r="K1090" s="46"/>
    </row>
    <row r="1091" spans="1:11">
      <c r="A1091" s="45"/>
      <c r="B1091" s="45"/>
      <c r="C1091" s="45"/>
      <c r="D1091" s="46"/>
      <c r="E1091" s="46"/>
      <c r="F1091" s="46"/>
      <c r="G1091" s="46"/>
      <c r="H1091" s="46"/>
      <c r="I1091" s="46"/>
      <c r="J1091" s="46"/>
      <c r="K1091" s="46"/>
    </row>
    <row r="1092" spans="1:11">
      <c r="A1092" s="45"/>
      <c r="B1092" s="45"/>
      <c r="C1092" s="45"/>
      <c r="D1092" s="46"/>
      <c r="E1092" s="46"/>
      <c r="F1092" s="46"/>
      <c r="G1092" s="46"/>
      <c r="H1092" s="46"/>
      <c r="I1092" s="46"/>
      <c r="J1092" s="46"/>
      <c r="K1092" s="46"/>
    </row>
    <row r="1093" spans="1:11">
      <c r="A1093" s="45"/>
      <c r="B1093" s="45"/>
      <c r="C1093" s="45"/>
      <c r="D1093" s="46"/>
      <c r="E1093" s="46"/>
      <c r="F1093" s="46"/>
      <c r="G1093" s="46"/>
      <c r="H1093" s="46"/>
      <c r="I1093" s="46"/>
      <c r="J1093" s="46"/>
      <c r="K1093" s="46"/>
    </row>
    <row r="1094" spans="1:11">
      <c r="A1094" s="45"/>
      <c r="B1094" s="45"/>
      <c r="C1094" s="45"/>
      <c r="D1094" s="46"/>
      <c r="E1094" s="46"/>
      <c r="F1094" s="46"/>
      <c r="G1094" s="46"/>
      <c r="H1094" s="46"/>
      <c r="I1094" s="46"/>
      <c r="J1094" s="46"/>
      <c r="K1094" s="46"/>
    </row>
    <row r="1095" spans="1:11">
      <c r="A1095" s="45"/>
      <c r="B1095" s="45"/>
      <c r="C1095" s="45"/>
      <c r="D1095" s="46"/>
      <c r="E1095" s="46"/>
      <c r="F1095" s="46"/>
      <c r="G1095" s="46"/>
      <c r="H1095" s="46"/>
      <c r="I1095" s="46"/>
      <c r="J1095" s="46"/>
      <c r="K1095" s="46"/>
    </row>
    <row r="1096" spans="1:11">
      <c r="A1096" s="45"/>
      <c r="B1096" s="45"/>
      <c r="C1096" s="45"/>
      <c r="D1096" s="46"/>
      <c r="E1096" s="46"/>
      <c r="F1096" s="46"/>
      <c r="G1096" s="46"/>
      <c r="H1096" s="46"/>
      <c r="I1096" s="46"/>
      <c r="J1096" s="46"/>
      <c r="K1096" s="46"/>
    </row>
    <row r="1097" spans="1:11">
      <c r="A1097" s="45"/>
      <c r="B1097" s="45"/>
      <c r="C1097" s="45"/>
      <c r="D1097" s="46"/>
      <c r="E1097" s="46"/>
      <c r="F1097" s="46"/>
      <c r="G1097" s="46"/>
      <c r="H1097" s="46"/>
      <c r="I1097" s="46"/>
      <c r="J1097" s="46"/>
      <c r="K1097" s="46"/>
    </row>
    <row r="1098" spans="1:11">
      <c r="A1098" s="45"/>
      <c r="B1098" s="45"/>
      <c r="C1098" s="45"/>
      <c r="D1098" s="46"/>
      <c r="E1098" s="46"/>
      <c r="F1098" s="46"/>
      <c r="G1098" s="46"/>
      <c r="H1098" s="46"/>
      <c r="I1098" s="46"/>
      <c r="J1098" s="46"/>
      <c r="K1098" s="46"/>
    </row>
    <row r="1099" spans="1:11">
      <c r="A1099" s="45"/>
      <c r="B1099" s="45"/>
      <c r="C1099" s="45"/>
      <c r="D1099" s="46"/>
      <c r="E1099" s="46"/>
      <c r="F1099" s="46"/>
      <c r="G1099" s="46"/>
      <c r="H1099" s="46"/>
      <c r="I1099" s="46"/>
      <c r="J1099" s="46"/>
      <c r="K1099" s="46"/>
    </row>
    <row r="1100" spans="1:11">
      <c r="A1100" s="45"/>
      <c r="B1100" s="45"/>
      <c r="C1100" s="45"/>
      <c r="D1100" s="46"/>
      <c r="E1100" s="46"/>
      <c r="F1100" s="46"/>
      <c r="G1100" s="46"/>
      <c r="H1100" s="46"/>
      <c r="I1100" s="46"/>
      <c r="J1100" s="46"/>
      <c r="K1100" s="46"/>
    </row>
    <row r="1101" spans="1:11">
      <c r="A1101" s="45"/>
      <c r="B1101" s="45"/>
      <c r="C1101" s="45"/>
      <c r="D1101" s="46"/>
      <c r="E1101" s="46"/>
      <c r="F1101" s="46"/>
      <c r="G1101" s="46"/>
      <c r="H1101" s="46"/>
      <c r="I1101" s="46"/>
      <c r="J1101" s="46"/>
      <c r="K1101" s="46"/>
    </row>
    <row r="1102" spans="1:11">
      <c r="A1102" s="45"/>
      <c r="B1102" s="45"/>
      <c r="C1102" s="45"/>
      <c r="D1102" s="46"/>
      <c r="E1102" s="46"/>
      <c r="F1102" s="46"/>
      <c r="G1102" s="46"/>
      <c r="H1102" s="46"/>
      <c r="I1102" s="46"/>
      <c r="J1102" s="46"/>
      <c r="K1102" s="46"/>
    </row>
    <row r="1103" spans="1:11">
      <c r="A1103" s="45"/>
      <c r="B1103" s="45"/>
      <c r="C1103" s="45"/>
      <c r="D1103" s="46"/>
      <c r="E1103" s="46"/>
      <c r="F1103" s="46"/>
      <c r="G1103" s="46"/>
      <c r="H1103" s="46"/>
      <c r="I1103" s="46"/>
      <c r="J1103" s="46"/>
      <c r="K1103" s="46"/>
    </row>
    <row r="1104" spans="1:11">
      <c r="A1104" s="45"/>
      <c r="B1104" s="45"/>
      <c r="C1104" s="45"/>
      <c r="D1104" s="46"/>
      <c r="E1104" s="46"/>
      <c r="F1104" s="46"/>
      <c r="G1104" s="46"/>
      <c r="H1104" s="46"/>
      <c r="I1104" s="46"/>
      <c r="J1104" s="46"/>
      <c r="K1104" s="46"/>
    </row>
    <row r="1105" spans="1:11">
      <c r="A1105" s="45"/>
      <c r="B1105" s="45"/>
      <c r="C1105" s="45"/>
      <c r="D1105" s="46"/>
      <c r="E1105" s="46"/>
      <c r="F1105" s="46"/>
      <c r="G1105" s="46"/>
      <c r="H1105" s="46"/>
      <c r="I1105" s="46"/>
      <c r="J1105" s="46"/>
      <c r="K1105" s="46"/>
    </row>
    <row r="1106" spans="1:11">
      <c r="A1106" s="45"/>
      <c r="B1106" s="45"/>
      <c r="C1106" s="45"/>
      <c r="D1106" s="46"/>
      <c r="E1106" s="46"/>
      <c r="F1106" s="46"/>
      <c r="G1106" s="46"/>
      <c r="H1106" s="46"/>
      <c r="I1106" s="46"/>
      <c r="J1106" s="46"/>
      <c r="K1106" s="46"/>
    </row>
    <row r="1107" spans="1:11">
      <c r="A1107" s="45"/>
      <c r="B1107" s="45"/>
      <c r="C1107" s="45"/>
      <c r="D1107" s="46"/>
      <c r="E1107" s="46"/>
      <c r="F1107" s="46"/>
      <c r="G1107" s="46"/>
      <c r="H1107" s="46"/>
      <c r="I1107" s="46"/>
      <c r="J1107" s="46"/>
      <c r="K1107" s="46"/>
    </row>
    <row r="1108" spans="1:11">
      <c r="A1108" s="45"/>
      <c r="B1108" s="45"/>
      <c r="C1108" s="45"/>
      <c r="D1108" s="46"/>
      <c r="E1108" s="46"/>
      <c r="F1108" s="46"/>
      <c r="G1108" s="46"/>
      <c r="H1108" s="46"/>
      <c r="I1108" s="46"/>
      <c r="J1108" s="46"/>
      <c r="K1108" s="46"/>
    </row>
    <row r="1109" spans="1:11">
      <c r="A1109" s="45"/>
      <c r="B1109" s="45"/>
      <c r="C1109" s="45"/>
      <c r="D1109" s="46"/>
      <c r="E1109" s="46"/>
      <c r="F1109" s="46"/>
      <c r="G1109" s="46"/>
      <c r="H1109" s="46"/>
      <c r="I1109" s="46"/>
      <c r="J1109" s="46"/>
      <c r="K1109" s="46"/>
    </row>
    <row r="1110" spans="1:11">
      <c r="A1110" s="45"/>
      <c r="B1110" s="45"/>
      <c r="C1110" s="45"/>
      <c r="D1110" s="46"/>
      <c r="E1110" s="46"/>
      <c r="F1110" s="46"/>
      <c r="G1110" s="46"/>
      <c r="H1110" s="46"/>
      <c r="I1110" s="46"/>
      <c r="J1110" s="46"/>
      <c r="K1110" s="46"/>
    </row>
    <row r="1111" spans="1:11">
      <c r="A1111" s="45"/>
      <c r="B1111" s="45"/>
      <c r="C1111" s="45"/>
      <c r="D1111" s="46"/>
      <c r="E1111" s="46"/>
      <c r="F1111" s="46"/>
      <c r="G1111" s="46"/>
      <c r="H1111" s="46"/>
      <c r="I1111" s="46"/>
      <c r="J1111" s="46"/>
      <c r="K1111" s="46"/>
    </row>
    <row r="1112" spans="1:11">
      <c r="A1112" s="45"/>
      <c r="B1112" s="45"/>
      <c r="C1112" s="45"/>
      <c r="D1112" s="46"/>
      <c r="E1112" s="46"/>
      <c r="F1112" s="46"/>
      <c r="G1112" s="46"/>
      <c r="H1112" s="46"/>
      <c r="I1112" s="46"/>
      <c r="J1112" s="46"/>
      <c r="K1112" s="46"/>
    </row>
    <row r="1113" spans="1:11">
      <c r="A1113" s="45"/>
      <c r="B1113" s="45"/>
      <c r="C1113" s="45"/>
      <c r="D1113" s="46"/>
      <c r="E1113" s="46"/>
      <c r="F1113" s="46"/>
      <c r="G1113" s="46"/>
      <c r="H1113" s="46"/>
      <c r="I1113" s="46"/>
      <c r="J1113" s="46"/>
      <c r="K1113" s="46"/>
    </row>
    <row r="1114" spans="1:11">
      <c r="A1114" s="45"/>
      <c r="B1114" s="45"/>
      <c r="C1114" s="45"/>
      <c r="D1114" s="46"/>
      <c r="E1114" s="46"/>
      <c r="F1114" s="46"/>
      <c r="G1114" s="46"/>
      <c r="H1114" s="46"/>
      <c r="I1114" s="46"/>
      <c r="J1114" s="46"/>
      <c r="K1114" s="46"/>
    </row>
    <row r="1115" spans="1:11">
      <c r="A1115" s="45"/>
      <c r="B1115" s="45"/>
      <c r="C1115" s="45"/>
      <c r="D1115" s="46"/>
      <c r="E1115" s="46"/>
      <c r="F1115" s="46"/>
      <c r="G1115" s="46"/>
      <c r="H1115" s="46"/>
      <c r="I1115" s="46"/>
      <c r="J1115" s="46"/>
      <c r="K1115" s="46"/>
    </row>
    <row r="1116" spans="1:11">
      <c r="A1116" s="45"/>
      <c r="B1116" s="45"/>
      <c r="C1116" s="45"/>
      <c r="D1116" s="46"/>
      <c r="E1116" s="46"/>
      <c r="F1116" s="46"/>
      <c r="G1116" s="46"/>
      <c r="H1116" s="46"/>
      <c r="I1116" s="46"/>
      <c r="J1116" s="46"/>
      <c r="K1116" s="46"/>
    </row>
    <row r="1117" spans="1:11">
      <c r="A1117" s="45"/>
      <c r="B1117" s="45"/>
      <c r="C1117" s="45"/>
      <c r="D1117" s="46"/>
      <c r="E1117" s="46"/>
      <c r="F1117" s="46"/>
      <c r="G1117" s="46"/>
      <c r="H1117" s="46"/>
      <c r="I1117" s="46"/>
      <c r="J1117" s="46"/>
      <c r="K1117" s="46"/>
    </row>
    <row r="1118" spans="1:11">
      <c r="A1118" s="45"/>
      <c r="B1118" s="45"/>
      <c r="C1118" s="45"/>
      <c r="D1118" s="46"/>
      <c r="E1118" s="46"/>
      <c r="F1118" s="46"/>
      <c r="G1118" s="46"/>
      <c r="H1118" s="46"/>
      <c r="I1118" s="46"/>
      <c r="J1118" s="46"/>
      <c r="K1118" s="46"/>
    </row>
    <row r="1119" spans="1:11">
      <c r="A1119" s="45"/>
      <c r="B1119" s="45"/>
      <c r="C1119" s="45"/>
      <c r="D1119" s="46"/>
      <c r="E1119" s="46"/>
      <c r="F1119" s="46"/>
      <c r="G1119" s="46"/>
      <c r="H1119" s="46"/>
      <c r="I1119" s="46"/>
      <c r="J1119" s="46"/>
      <c r="K1119" s="46"/>
    </row>
    <row r="1120" spans="1:11">
      <c r="A1120" s="45"/>
      <c r="B1120" s="45"/>
      <c r="C1120" s="45"/>
      <c r="D1120" s="46"/>
      <c r="E1120" s="46"/>
      <c r="F1120" s="46"/>
      <c r="G1120" s="46"/>
      <c r="H1120" s="46"/>
      <c r="I1120" s="46"/>
      <c r="J1120" s="46"/>
      <c r="K1120" s="46"/>
    </row>
    <row r="1121" spans="1:11">
      <c r="A1121" s="45"/>
      <c r="B1121" s="45"/>
      <c r="C1121" s="45"/>
      <c r="D1121" s="46"/>
      <c r="E1121" s="46"/>
      <c r="F1121" s="46"/>
      <c r="G1121" s="46"/>
      <c r="H1121" s="46"/>
      <c r="I1121" s="46"/>
      <c r="J1121" s="46"/>
      <c r="K1121" s="46"/>
    </row>
    <row r="1122" spans="1:11">
      <c r="A1122" s="45"/>
      <c r="B1122" s="45"/>
      <c r="C1122" s="45"/>
      <c r="D1122" s="46"/>
      <c r="E1122" s="46"/>
      <c r="F1122" s="46"/>
      <c r="G1122" s="46"/>
      <c r="H1122" s="46"/>
      <c r="I1122" s="46"/>
      <c r="J1122" s="46"/>
      <c r="K1122" s="46"/>
    </row>
    <row r="1123" spans="1:11">
      <c r="A1123" s="45"/>
      <c r="B1123" s="45"/>
      <c r="C1123" s="45"/>
      <c r="D1123" s="46"/>
      <c r="E1123" s="46"/>
      <c r="F1123" s="46"/>
      <c r="G1123" s="46"/>
      <c r="H1123" s="46"/>
      <c r="I1123" s="46"/>
      <c r="J1123" s="46"/>
      <c r="K1123" s="46"/>
    </row>
    <row r="1124" spans="1:11">
      <c r="A1124" s="45"/>
      <c r="B1124" s="45"/>
      <c r="C1124" s="45"/>
      <c r="D1124" s="46"/>
      <c r="E1124" s="46"/>
      <c r="F1124" s="46"/>
      <c r="G1124" s="46"/>
      <c r="H1124" s="46"/>
      <c r="I1124" s="46"/>
      <c r="J1124" s="46"/>
      <c r="K1124" s="46"/>
    </row>
    <row r="1125" spans="1:11">
      <c r="A1125" s="45"/>
      <c r="B1125" s="45"/>
      <c r="C1125" s="45"/>
      <c r="D1125" s="46"/>
      <c r="E1125" s="46"/>
      <c r="F1125" s="46"/>
      <c r="G1125" s="46"/>
      <c r="H1125" s="46"/>
      <c r="I1125" s="46"/>
      <c r="J1125" s="46"/>
      <c r="K1125" s="46"/>
    </row>
    <row r="1126" spans="1:11">
      <c r="A1126" s="45"/>
      <c r="B1126" s="45"/>
      <c r="C1126" s="45"/>
      <c r="D1126" s="46"/>
      <c r="E1126" s="46"/>
      <c r="F1126" s="46"/>
      <c r="G1126" s="46"/>
      <c r="H1126" s="46"/>
      <c r="I1126" s="46"/>
      <c r="J1126" s="46"/>
      <c r="K1126" s="46"/>
    </row>
    <row r="1127" spans="1:11">
      <c r="A1127" s="45"/>
      <c r="B1127" s="45"/>
      <c r="C1127" s="45"/>
      <c r="D1127" s="46"/>
      <c r="E1127" s="46"/>
      <c r="F1127" s="46"/>
      <c r="G1127" s="46"/>
      <c r="H1127" s="46"/>
      <c r="I1127" s="46"/>
      <c r="J1127" s="46"/>
      <c r="K1127" s="46"/>
    </row>
    <row r="1128" spans="1:11">
      <c r="A1128" s="45"/>
      <c r="B1128" s="45"/>
      <c r="C1128" s="45"/>
      <c r="D1128" s="46"/>
      <c r="E1128" s="46"/>
      <c r="F1128" s="46"/>
      <c r="G1128" s="46"/>
      <c r="H1128" s="46"/>
      <c r="I1128" s="46"/>
      <c r="J1128" s="46"/>
      <c r="K1128" s="46"/>
    </row>
    <row r="1129" spans="1:11">
      <c r="A1129" s="45"/>
      <c r="B1129" s="45"/>
      <c r="C1129" s="45"/>
      <c r="D1129" s="46"/>
      <c r="E1129" s="46"/>
      <c r="F1129" s="46"/>
      <c r="G1129" s="46"/>
      <c r="H1129" s="46"/>
      <c r="I1129" s="46"/>
      <c r="J1129" s="46"/>
      <c r="K1129" s="46"/>
    </row>
    <row r="1130" spans="1:11">
      <c r="A1130" s="45"/>
      <c r="B1130" s="45"/>
      <c r="C1130" s="45"/>
      <c r="D1130" s="46"/>
      <c r="E1130" s="46"/>
      <c r="F1130" s="46"/>
      <c r="G1130" s="46"/>
      <c r="H1130" s="46"/>
      <c r="I1130" s="46"/>
      <c r="J1130" s="46"/>
      <c r="K1130" s="46"/>
    </row>
    <row r="1131" spans="1:11">
      <c r="A1131" s="45"/>
      <c r="B1131" s="45"/>
      <c r="C1131" s="45"/>
      <c r="D1131" s="46"/>
      <c r="E1131" s="46"/>
      <c r="F1131" s="46"/>
      <c r="G1131" s="46"/>
      <c r="H1131" s="46"/>
      <c r="I1131" s="46"/>
      <c r="J1131" s="46"/>
      <c r="K1131" s="46"/>
    </row>
    <row r="1132" spans="1:11">
      <c r="A1132" s="45"/>
      <c r="B1132" s="45"/>
      <c r="C1132" s="45"/>
      <c r="D1132" s="46"/>
      <c r="E1132" s="46"/>
      <c r="F1132" s="46"/>
      <c r="G1132" s="46"/>
      <c r="H1132" s="46"/>
      <c r="I1132" s="46"/>
      <c r="J1132" s="46"/>
      <c r="K1132" s="46"/>
    </row>
    <row r="1133" spans="1:11">
      <c r="A1133" s="45"/>
      <c r="B1133" s="45"/>
      <c r="C1133" s="45"/>
      <c r="D1133" s="46"/>
      <c r="E1133" s="46"/>
      <c r="F1133" s="46"/>
      <c r="G1133" s="46"/>
      <c r="H1133" s="46"/>
      <c r="I1133" s="46"/>
      <c r="J1133" s="46"/>
      <c r="K1133" s="46"/>
    </row>
    <row r="1134" spans="1:11">
      <c r="A1134" s="45"/>
      <c r="B1134" s="45"/>
      <c r="C1134" s="45"/>
      <c r="D1134" s="46"/>
      <c r="E1134" s="46"/>
      <c r="F1134" s="46"/>
      <c r="G1134" s="46"/>
      <c r="H1134" s="46"/>
      <c r="I1134" s="46"/>
      <c r="J1134" s="46"/>
      <c r="K1134" s="46"/>
    </row>
    <row r="1135" spans="1:11">
      <c r="A1135" s="45"/>
      <c r="B1135" s="45"/>
      <c r="C1135" s="45"/>
      <c r="D1135" s="46"/>
      <c r="E1135" s="46"/>
      <c r="F1135" s="46"/>
      <c r="G1135" s="46"/>
      <c r="H1135" s="46"/>
      <c r="I1135" s="46"/>
      <c r="J1135" s="46"/>
      <c r="K1135" s="46"/>
    </row>
    <row r="1136" spans="1:11">
      <c r="A1136" s="45"/>
      <c r="B1136" s="45"/>
      <c r="C1136" s="45"/>
      <c r="D1136" s="46"/>
      <c r="E1136" s="46"/>
      <c r="F1136" s="46"/>
      <c r="G1136" s="46"/>
      <c r="H1136" s="46"/>
      <c r="I1136" s="46"/>
      <c r="J1136" s="46"/>
      <c r="K1136" s="46"/>
    </row>
    <row r="1137" spans="1:11">
      <c r="A1137" s="45"/>
      <c r="B1137" s="45"/>
      <c r="C1137" s="45"/>
      <c r="D1137" s="46"/>
      <c r="E1137" s="46"/>
      <c r="F1137" s="46"/>
      <c r="G1137" s="46"/>
      <c r="H1137" s="46"/>
      <c r="I1137" s="46"/>
      <c r="J1137" s="46"/>
      <c r="K1137" s="46"/>
    </row>
    <row r="1138" spans="1:11">
      <c r="A1138" s="45"/>
      <c r="B1138" s="45"/>
      <c r="C1138" s="45"/>
      <c r="D1138" s="46"/>
      <c r="E1138" s="46"/>
      <c r="F1138" s="46"/>
      <c r="G1138" s="46"/>
      <c r="H1138" s="46"/>
      <c r="I1138" s="46"/>
      <c r="J1138" s="46"/>
      <c r="K1138" s="46"/>
    </row>
    <row r="1139" spans="1:11">
      <c r="A1139" s="45"/>
      <c r="B1139" s="45"/>
      <c r="C1139" s="45"/>
      <c r="D1139" s="46"/>
      <c r="E1139" s="46"/>
      <c r="F1139" s="46"/>
      <c r="G1139" s="46"/>
      <c r="H1139" s="46"/>
      <c r="I1139" s="46"/>
      <c r="J1139" s="46"/>
      <c r="K1139" s="46"/>
    </row>
    <row r="1140" spans="1:11">
      <c r="A1140" s="45"/>
      <c r="B1140" s="45"/>
      <c r="C1140" s="45"/>
      <c r="D1140" s="46"/>
      <c r="E1140" s="46"/>
      <c r="F1140" s="46"/>
      <c r="G1140" s="46"/>
      <c r="H1140" s="46"/>
      <c r="I1140" s="46"/>
      <c r="J1140" s="46"/>
      <c r="K1140" s="46"/>
    </row>
    <row r="1141" spans="1:11">
      <c r="A1141" s="45"/>
      <c r="B1141" s="45"/>
      <c r="C1141" s="45"/>
      <c r="D1141" s="46"/>
      <c r="E1141" s="46"/>
      <c r="F1141" s="46"/>
      <c r="G1141" s="46"/>
      <c r="H1141" s="46"/>
      <c r="I1141" s="46"/>
      <c r="J1141" s="46"/>
      <c r="K1141" s="46"/>
    </row>
    <row r="1142" spans="1:11">
      <c r="A1142" s="45"/>
      <c r="B1142" s="45"/>
      <c r="C1142" s="45"/>
      <c r="D1142" s="46"/>
      <c r="E1142" s="46"/>
      <c r="F1142" s="46"/>
      <c r="G1142" s="46"/>
      <c r="H1142" s="46"/>
      <c r="I1142" s="46"/>
      <c r="J1142" s="46"/>
      <c r="K1142" s="46"/>
    </row>
    <row r="1143" spans="1:11">
      <c r="A1143" s="45"/>
      <c r="B1143" s="45"/>
      <c r="C1143" s="45"/>
      <c r="D1143" s="46"/>
      <c r="E1143" s="46"/>
      <c r="F1143" s="46"/>
      <c r="G1143" s="46"/>
      <c r="H1143" s="46"/>
      <c r="I1143" s="46"/>
      <c r="J1143" s="46"/>
      <c r="K1143" s="46"/>
    </row>
    <row r="1144" spans="1:11">
      <c r="A1144" s="45"/>
      <c r="B1144" s="45"/>
      <c r="C1144" s="45"/>
      <c r="D1144" s="46"/>
      <c r="E1144" s="46"/>
      <c r="F1144" s="46"/>
      <c r="G1144" s="46"/>
      <c r="H1144" s="46"/>
      <c r="I1144" s="46"/>
      <c r="J1144" s="46"/>
      <c r="K1144" s="46"/>
    </row>
    <row r="1145" spans="1:11">
      <c r="A1145" s="45"/>
      <c r="B1145" s="45"/>
      <c r="C1145" s="45"/>
      <c r="D1145" s="46"/>
      <c r="E1145" s="46"/>
      <c r="F1145" s="46"/>
      <c r="G1145" s="46"/>
      <c r="H1145" s="46"/>
      <c r="I1145" s="46"/>
      <c r="J1145" s="46"/>
      <c r="K1145" s="46"/>
    </row>
    <row r="1146" spans="1:11">
      <c r="A1146" s="45"/>
      <c r="B1146" s="45"/>
      <c r="C1146" s="45"/>
      <c r="D1146" s="46"/>
      <c r="E1146" s="46"/>
      <c r="F1146" s="46"/>
      <c r="G1146" s="46"/>
      <c r="H1146" s="46"/>
      <c r="I1146" s="46"/>
      <c r="J1146" s="46"/>
      <c r="K1146" s="46"/>
    </row>
    <row r="1147" spans="1:11">
      <c r="A1147" s="45"/>
      <c r="B1147" s="45"/>
      <c r="C1147" s="45"/>
      <c r="D1147" s="46"/>
      <c r="E1147" s="46"/>
      <c r="F1147" s="46"/>
      <c r="G1147" s="46"/>
      <c r="H1147" s="46"/>
      <c r="I1147" s="46"/>
      <c r="J1147" s="46"/>
      <c r="K1147" s="46"/>
    </row>
    <row r="1148" spans="1:11">
      <c r="A1148" s="45"/>
      <c r="B1148" s="45"/>
      <c r="C1148" s="45"/>
      <c r="D1148" s="46"/>
      <c r="E1148" s="46"/>
      <c r="F1148" s="46"/>
      <c r="G1148" s="46"/>
      <c r="H1148" s="46"/>
      <c r="I1148" s="46"/>
      <c r="J1148" s="46"/>
      <c r="K1148" s="46"/>
    </row>
    <row r="1149" spans="1:11">
      <c r="A1149" s="45"/>
      <c r="B1149" s="45"/>
      <c r="C1149" s="45"/>
      <c r="D1149" s="46"/>
      <c r="E1149" s="46"/>
      <c r="F1149" s="46"/>
      <c r="G1149" s="46"/>
      <c r="H1149" s="46"/>
      <c r="I1149" s="46"/>
      <c r="J1149" s="46"/>
      <c r="K1149" s="46"/>
    </row>
    <row r="1150" spans="1:11">
      <c r="A1150" s="45"/>
      <c r="B1150" s="45"/>
      <c r="C1150" s="45"/>
      <c r="D1150" s="46"/>
      <c r="E1150" s="46"/>
      <c r="F1150" s="46"/>
      <c r="G1150" s="46"/>
      <c r="H1150" s="46"/>
      <c r="I1150" s="46"/>
      <c r="J1150" s="46"/>
      <c r="K1150" s="46"/>
    </row>
    <row r="1151" spans="1:11">
      <c r="A1151" s="45"/>
      <c r="B1151" s="45"/>
      <c r="C1151" s="45"/>
      <c r="D1151" s="46"/>
      <c r="E1151" s="46"/>
      <c r="F1151" s="46"/>
      <c r="G1151" s="46"/>
      <c r="H1151" s="46"/>
      <c r="I1151" s="46"/>
      <c r="J1151" s="46"/>
      <c r="K1151" s="46"/>
    </row>
    <row r="1152" spans="1:11">
      <c r="A1152" s="45"/>
      <c r="B1152" s="45"/>
      <c r="C1152" s="45"/>
      <c r="D1152" s="46"/>
      <c r="E1152" s="46"/>
      <c r="F1152" s="46"/>
      <c r="G1152" s="46"/>
      <c r="H1152" s="46"/>
      <c r="I1152" s="46"/>
      <c r="J1152" s="46"/>
      <c r="K1152" s="46"/>
    </row>
    <row r="1153" spans="1:11">
      <c r="A1153" s="45"/>
      <c r="B1153" s="45"/>
      <c r="C1153" s="45"/>
      <c r="D1153" s="46"/>
      <c r="E1153" s="46"/>
      <c r="F1153" s="46"/>
      <c r="G1153" s="46"/>
      <c r="H1153" s="46"/>
      <c r="I1153" s="46"/>
      <c r="J1153" s="46"/>
      <c r="K1153" s="46"/>
    </row>
    <row r="1154" spans="1:11">
      <c r="A1154" s="45"/>
      <c r="B1154" s="45"/>
      <c r="C1154" s="45"/>
      <c r="D1154" s="46"/>
      <c r="E1154" s="46"/>
      <c r="F1154" s="46"/>
      <c r="G1154" s="46"/>
      <c r="H1154" s="46"/>
      <c r="I1154" s="46"/>
      <c r="J1154" s="46"/>
      <c r="K1154" s="46"/>
    </row>
    <row r="1155" spans="1:11">
      <c r="A1155" s="45"/>
      <c r="B1155" s="45"/>
      <c r="C1155" s="45"/>
      <c r="D1155" s="46"/>
      <c r="E1155" s="46"/>
      <c r="F1155" s="46"/>
      <c r="G1155" s="46"/>
      <c r="H1155" s="46"/>
      <c r="I1155" s="46"/>
      <c r="J1155" s="46"/>
      <c r="K1155" s="46"/>
    </row>
    <row r="1156" spans="1:11">
      <c r="A1156" s="45"/>
      <c r="B1156" s="45"/>
      <c r="C1156" s="45"/>
      <c r="D1156" s="46"/>
      <c r="E1156" s="46"/>
      <c r="F1156" s="46"/>
      <c r="G1156" s="46"/>
      <c r="H1156" s="46"/>
      <c r="I1156" s="46"/>
      <c r="J1156" s="46"/>
      <c r="K1156" s="46"/>
    </row>
    <row r="1157" spans="1:11">
      <c r="A1157" s="45"/>
      <c r="B1157" s="45"/>
      <c r="C1157" s="45"/>
      <c r="D1157" s="46"/>
      <c r="E1157" s="46"/>
      <c r="F1157" s="46"/>
      <c r="G1157" s="46"/>
      <c r="H1157" s="46"/>
      <c r="I1157" s="46"/>
      <c r="J1157" s="46"/>
      <c r="K1157" s="46"/>
    </row>
    <row r="1158" spans="1:11">
      <c r="A1158" s="45"/>
      <c r="B1158" s="45"/>
      <c r="C1158" s="45"/>
      <c r="D1158" s="46"/>
      <c r="E1158" s="46"/>
      <c r="F1158" s="46"/>
      <c r="G1158" s="46"/>
      <c r="H1158" s="46"/>
      <c r="I1158" s="46"/>
      <c r="J1158" s="46"/>
      <c r="K1158" s="46"/>
    </row>
    <row r="1159" spans="1:11">
      <c r="A1159" s="45"/>
      <c r="B1159" s="45"/>
      <c r="C1159" s="45"/>
      <c r="D1159" s="46"/>
      <c r="E1159" s="46"/>
      <c r="F1159" s="46"/>
      <c r="G1159" s="46"/>
      <c r="H1159" s="46"/>
      <c r="I1159" s="46"/>
      <c r="J1159" s="46"/>
      <c r="K1159" s="46"/>
    </row>
    <row r="1160" spans="1:11">
      <c r="A1160" s="45"/>
      <c r="B1160" s="45"/>
      <c r="C1160" s="45"/>
      <c r="D1160" s="46"/>
      <c r="E1160" s="46"/>
      <c r="F1160" s="46"/>
      <c r="G1160" s="46"/>
      <c r="H1160" s="46"/>
      <c r="I1160" s="46"/>
      <c r="J1160" s="46"/>
      <c r="K1160" s="46"/>
    </row>
    <row r="1161" spans="1:11">
      <c r="A1161" s="45"/>
      <c r="B1161" s="45"/>
      <c r="C1161" s="45"/>
      <c r="D1161" s="46"/>
      <c r="E1161" s="46"/>
      <c r="F1161" s="46"/>
      <c r="G1161" s="46"/>
      <c r="H1161" s="46"/>
      <c r="I1161" s="46"/>
      <c r="J1161" s="46"/>
      <c r="K1161" s="46"/>
    </row>
    <row r="1162" spans="1:11">
      <c r="A1162" s="45"/>
      <c r="B1162" s="45"/>
      <c r="C1162" s="45"/>
      <c r="D1162" s="46"/>
      <c r="E1162" s="46"/>
      <c r="F1162" s="46"/>
      <c r="G1162" s="46"/>
      <c r="H1162" s="46"/>
      <c r="I1162" s="46"/>
      <c r="J1162" s="46"/>
      <c r="K1162" s="46"/>
    </row>
    <row r="1163" spans="1:11">
      <c r="A1163" s="45"/>
      <c r="B1163" s="45"/>
      <c r="C1163" s="45"/>
      <c r="D1163" s="46"/>
      <c r="E1163" s="46"/>
      <c r="F1163" s="46"/>
      <c r="G1163" s="46"/>
      <c r="H1163" s="46"/>
      <c r="I1163" s="46"/>
      <c r="J1163" s="46"/>
      <c r="K1163" s="46"/>
    </row>
    <row r="1164" spans="1:11">
      <c r="A1164" s="45"/>
      <c r="B1164" s="45"/>
      <c r="C1164" s="45"/>
      <c r="D1164" s="46"/>
      <c r="E1164" s="46"/>
      <c r="F1164" s="46"/>
      <c r="G1164" s="46"/>
      <c r="H1164" s="46"/>
      <c r="I1164" s="46"/>
      <c r="J1164" s="46"/>
      <c r="K1164" s="46"/>
    </row>
    <row r="1165" spans="1:11">
      <c r="A1165" s="45"/>
      <c r="B1165" s="45"/>
      <c r="C1165" s="45"/>
      <c r="D1165" s="46"/>
      <c r="E1165" s="46"/>
      <c r="F1165" s="46"/>
      <c r="G1165" s="46"/>
      <c r="H1165" s="46"/>
      <c r="I1165" s="46"/>
      <c r="J1165" s="46"/>
      <c r="K1165" s="46"/>
    </row>
    <row r="1166" spans="1:11">
      <c r="A1166" s="45"/>
      <c r="B1166" s="45"/>
      <c r="C1166" s="45"/>
      <c r="D1166" s="46"/>
      <c r="E1166" s="46"/>
      <c r="F1166" s="46"/>
      <c r="G1166" s="46"/>
      <c r="H1166" s="46"/>
      <c r="I1166" s="46"/>
      <c r="J1166" s="46"/>
      <c r="K1166" s="46"/>
    </row>
    <row r="1167" spans="1:11">
      <c r="A1167" s="45"/>
      <c r="B1167" s="45"/>
      <c r="C1167" s="45"/>
      <c r="D1167" s="46"/>
      <c r="E1167" s="46"/>
      <c r="F1167" s="46"/>
      <c r="G1167" s="46"/>
      <c r="H1167" s="46"/>
      <c r="I1167" s="46"/>
      <c r="J1167" s="46"/>
      <c r="K1167" s="46"/>
    </row>
    <row r="1168" spans="1:11">
      <c r="A1168" s="45"/>
      <c r="B1168" s="45"/>
      <c r="C1168" s="45"/>
      <c r="D1168" s="46"/>
      <c r="E1168" s="46"/>
      <c r="F1168" s="46"/>
      <c r="G1168" s="46"/>
      <c r="H1168" s="46"/>
      <c r="I1168" s="46"/>
      <c r="J1168" s="46"/>
      <c r="K1168" s="46"/>
    </row>
    <row r="1169" spans="1:11">
      <c r="A1169" s="45"/>
      <c r="B1169" s="45"/>
      <c r="C1169" s="45"/>
      <c r="D1169" s="46"/>
      <c r="E1169" s="46"/>
      <c r="F1169" s="46"/>
      <c r="G1169" s="46"/>
      <c r="H1169" s="46"/>
      <c r="I1169" s="46"/>
      <c r="J1169" s="46"/>
      <c r="K1169" s="46"/>
    </row>
    <row r="1170" spans="1:11">
      <c r="A1170" s="45"/>
      <c r="B1170" s="45"/>
      <c r="C1170" s="45"/>
      <c r="D1170" s="46"/>
      <c r="E1170" s="46"/>
      <c r="F1170" s="46"/>
      <c r="G1170" s="46"/>
      <c r="H1170" s="46"/>
      <c r="I1170" s="46"/>
      <c r="J1170" s="46"/>
      <c r="K1170" s="46"/>
    </row>
    <row r="1171" spans="1:11">
      <c r="A1171" s="45"/>
      <c r="B1171" s="45"/>
      <c r="C1171" s="45"/>
      <c r="D1171" s="46"/>
      <c r="E1171" s="46"/>
      <c r="F1171" s="46"/>
      <c r="G1171" s="46"/>
      <c r="H1171" s="46"/>
      <c r="I1171" s="46"/>
      <c r="J1171" s="46"/>
      <c r="K1171" s="46"/>
    </row>
    <row r="1172" spans="1:11">
      <c r="A1172" s="45"/>
      <c r="B1172" s="45"/>
      <c r="C1172" s="45"/>
      <c r="D1172" s="46"/>
      <c r="E1172" s="46"/>
      <c r="F1172" s="46"/>
      <c r="G1172" s="46"/>
      <c r="H1172" s="46"/>
      <c r="I1172" s="46"/>
      <c r="J1172" s="46"/>
      <c r="K1172" s="46"/>
    </row>
    <row r="1173" spans="1:11">
      <c r="A1173" s="45"/>
      <c r="B1173" s="45"/>
      <c r="C1173" s="45"/>
      <c r="D1173" s="46"/>
      <c r="E1173" s="46"/>
      <c r="F1173" s="46"/>
      <c r="G1173" s="46"/>
      <c r="H1173" s="46"/>
      <c r="I1173" s="46"/>
      <c r="J1173" s="46"/>
      <c r="K1173" s="46"/>
    </row>
    <row r="1174" spans="1:11">
      <c r="A1174" s="45"/>
      <c r="B1174" s="45"/>
      <c r="C1174" s="45"/>
      <c r="D1174" s="46"/>
      <c r="E1174" s="46"/>
      <c r="F1174" s="46"/>
      <c r="G1174" s="46"/>
      <c r="H1174" s="46"/>
      <c r="I1174" s="46"/>
      <c r="J1174" s="46"/>
      <c r="K1174" s="46"/>
    </row>
    <row r="1175" spans="1:11">
      <c r="A1175" s="45"/>
      <c r="B1175" s="45"/>
      <c r="C1175" s="45"/>
      <c r="D1175" s="46"/>
      <c r="E1175" s="46"/>
      <c r="F1175" s="46"/>
      <c r="G1175" s="46"/>
      <c r="H1175" s="46"/>
      <c r="I1175" s="46"/>
      <c r="J1175" s="46"/>
      <c r="K1175" s="46"/>
    </row>
    <row r="1176" spans="1:11">
      <c r="A1176" s="45"/>
      <c r="B1176" s="45"/>
      <c r="C1176" s="45"/>
      <c r="D1176" s="46"/>
      <c r="E1176" s="46"/>
      <c r="F1176" s="46"/>
      <c r="G1176" s="46"/>
      <c r="H1176" s="46"/>
      <c r="I1176" s="46"/>
      <c r="J1176" s="46"/>
      <c r="K1176" s="46"/>
    </row>
    <row r="1177" spans="1:11">
      <c r="A1177" s="45"/>
      <c r="B1177" s="45"/>
      <c r="C1177" s="45"/>
      <c r="D1177" s="46"/>
      <c r="E1177" s="46"/>
      <c r="F1177" s="46"/>
      <c r="G1177" s="46"/>
      <c r="H1177" s="46"/>
      <c r="I1177" s="46"/>
      <c r="J1177" s="46"/>
      <c r="K1177" s="46"/>
    </row>
    <row r="1178" spans="1:11">
      <c r="A1178" s="45"/>
      <c r="B1178" s="45"/>
      <c r="C1178" s="45"/>
      <c r="D1178" s="46"/>
      <c r="E1178" s="46"/>
      <c r="F1178" s="46"/>
      <c r="G1178" s="46"/>
      <c r="H1178" s="46"/>
      <c r="I1178" s="46"/>
      <c r="J1178" s="46"/>
      <c r="K1178" s="46"/>
    </row>
    <row r="1179" spans="1:11">
      <c r="A1179" s="45"/>
      <c r="B1179" s="45"/>
      <c r="C1179" s="45"/>
      <c r="D1179" s="46"/>
      <c r="E1179" s="46"/>
      <c r="F1179" s="46"/>
      <c r="G1179" s="46"/>
      <c r="H1179" s="46"/>
      <c r="I1179" s="46"/>
      <c r="J1179" s="46"/>
      <c r="K1179" s="46"/>
    </row>
    <row r="1180" spans="1:11">
      <c r="A1180" s="45"/>
      <c r="B1180" s="45"/>
      <c r="C1180" s="45"/>
      <c r="D1180" s="46"/>
      <c r="E1180" s="46"/>
      <c r="F1180" s="46"/>
      <c r="G1180" s="46"/>
      <c r="H1180" s="46"/>
      <c r="I1180" s="46"/>
      <c r="J1180" s="46"/>
      <c r="K1180" s="46"/>
    </row>
    <row r="1181" spans="1:11">
      <c r="A1181" s="45"/>
      <c r="B1181" s="45"/>
      <c r="C1181" s="45"/>
      <c r="D1181" s="46"/>
      <c r="E1181" s="46"/>
      <c r="F1181" s="46"/>
      <c r="G1181" s="46"/>
      <c r="H1181" s="46"/>
      <c r="I1181" s="46"/>
      <c r="J1181" s="46"/>
      <c r="K1181" s="46"/>
    </row>
    <row r="1182" spans="1:11">
      <c r="A1182" s="45"/>
      <c r="B1182" s="45"/>
      <c r="C1182" s="45"/>
      <c r="D1182" s="46"/>
      <c r="E1182" s="46"/>
      <c r="F1182" s="46"/>
      <c r="G1182" s="46"/>
      <c r="H1182" s="46"/>
      <c r="I1182" s="46"/>
      <c r="J1182" s="46"/>
      <c r="K1182" s="46"/>
    </row>
    <row r="1183" spans="1:11">
      <c r="A1183" s="45"/>
      <c r="B1183" s="45"/>
      <c r="C1183" s="45"/>
      <c r="D1183" s="46"/>
      <c r="E1183" s="46"/>
      <c r="F1183" s="46"/>
      <c r="G1183" s="46"/>
      <c r="H1183" s="46"/>
      <c r="I1183" s="46"/>
      <c r="J1183" s="46"/>
      <c r="K1183" s="46"/>
    </row>
    <row r="1184" spans="1:11">
      <c r="A1184" s="45"/>
      <c r="B1184" s="45"/>
      <c r="C1184" s="45"/>
      <c r="D1184" s="46"/>
      <c r="E1184" s="46"/>
      <c r="F1184" s="46"/>
      <c r="G1184" s="46"/>
      <c r="H1184" s="46"/>
      <c r="I1184" s="46"/>
      <c r="J1184" s="46"/>
      <c r="K1184" s="46"/>
    </row>
    <row r="1185" spans="1:11">
      <c r="A1185" s="45"/>
      <c r="B1185" s="45"/>
      <c r="C1185" s="45"/>
      <c r="D1185" s="46"/>
      <c r="E1185" s="46"/>
      <c r="F1185" s="46"/>
      <c r="G1185" s="46"/>
      <c r="H1185" s="46"/>
      <c r="I1185" s="46"/>
      <c r="J1185" s="46"/>
      <c r="K1185" s="46"/>
    </row>
    <row r="1186" spans="1:11">
      <c r="A1186" s="45"/>
      <c r="B1186" s="45"/>
      <c r="C1186" s="45"/>
      <c r="D1186" s="46"/>
      <c r="E1186" s="46"/>
      <c r="F1186" s="46"/>
      <c r="G1186" s="46"/>
      <c r="H1186" s="46"/>
      <c r="I1186" s="46"/>
      <c r="J1186" s="46"/>
      <c r="K1186" s="46"/>
    </row>
    <row r="1187" spans="1:11">
      <c r="A1187" s="45"/>
      <c r="B1187" s="45"/>
      <c r="C1187" s="45"/>
      <c r="D1187" s="46"/>
      <c r="E1187" s="46"/>
      <c r="F1187" s="46"/>
      <c r="G1187" s="46"/>
      <c r="H1187" s="46"/>
      <c r="I1187" s="46"/>
      <c r="J1187" s="46"/>
      <c r="K1187" s="46"/>
    </row>
    <row r="1188" spans="1:11">
      <c r="A1188" s="45"/>
      <c r="B1188" s="45"/>
      <c r="C1188" s="45"/>
      <c r="D1188" s="46"/>
      <c r="E1188" s="46"/>
      <c r="F1188" s="46"/>
      <c r="G1188" s="46"/>
      <c r="H1188" s="46"/>
      <c r="I1188" s="46"/>
      <c r="J1188" s="46"/>
      <c r="K1188" s="46"/>
    </row>
    <row r="1189" spans="1:11">
      <c r="A1189" s="45"/>
      <c r="B1189" s="45"/>
      <c r="C1189" s="45"/>
      <c r="D1189" s="46"/>
      <c r="E1189" s="46"/>
      <c r="F1189" s="46"/>
      <c r="G1189" s="46"/>
      <c r="H1189" s="46"/>
      <c r="I1189" s="46"/>
      <c r="J1189" s="46"/>
      <c r="K1189" s="46"/>
    </row>
    <row r="1190" spans="1:11">
      <c r="A1190" s="45"/>
      <c r="B1190" s="45"/>
      <c r="C1190" s="45"/>
      <c r="D1190" s="46"/>
      <c r="E1190" s="46"/>
      <c r="F1190" s="46"/>
      <c r="G1190" s="46"/>
      <c r="H1190" s="46"/>
      <c r="I1190" s="46"/>
      <c r="J1190" s="46"/>
      <c r="K1190" s="46"/>
    </row>
    <row r="1191" spans="1:11">
      <c r="A1191" s="45"/>
      <c r="B1191" s="45"/>
      <c r="C1191" s="45"/>
      <c r="D1191" s="46"/>
      <c r="E1191" s="46"/>
      <c r="F1191" s="46"/>
      <c r="G1191" s="46"/>
      <c r="H1191" s="46"/>
      <c r="I1191" s="46"/>
      <c r="J1191" s="46"/>
      <c r="K1191" s="46"/>
    </row>
    <row r="1192" spans="1:11">
      <c r="A1192" s="45"/>
      <c r="B1192" s="45"/>
      <c r="C1192" s="45"/>
      <c r="D1192" s="46"/>
      <c r="E1192" s="46"/>
      <c r="F1192" s="46"/>
      <c r="G1192" s="46"/>
      <c r="H1192" s="46"/>
      <c r="I1192" s="46"/>
      <c r="J1192" s="46"/>
      <c r="K1192" s="46"/>
    </row>
    <row r="1193" spans="1:11">
      <c r="A1193" s="45"/>
      <c r="B1193" s="45"/>
      <c r="C1193" s="45"/>
      <c r="D1193" s="46"/>
      <c r="E1193" s="46"/>
      <c r="F1193" s="46"/>
      <c r="G1193" s="46"/>
      <c r="H1193" s="46"/>
      <c r="I1193" s="46"/>
      <c r="J1193" s="46"/>
      <c r="K1193" s="46"/>
    </row>
    <row r="1194" spans="1:11">
      <c r="A1194" s="45"/>
      <c r="B1194" s="45"/>
      <c r="C1194" s="45"/>
      <c r="D1194" s="46"/>
      <c r="E1194" s="46"/>
      <c r="F1194" s="46"/>
      <c r="G1194" s="46"/>
      <c r="H1194" s="46"/>
      <c r="I1194" s="46"/>
      <c r="J1194" s="46"/>
      <c r="K1194" s="46"/>
    </row>
    <row r="1195" spans="1:11">
      <c r="A1195" s="45"/>
      <c r="B1195" s="45"/>
      <c r="C1195" s="45"/>
      <c r="D1195" s="46"/>
      <c r="E1195" s="46"/>
      <c r="F1195" s="46"/>
      <c r="G1195" s="46"/>
      <c r="H1195" s="46"/>
      <c r="I1195" s="46"/>
      <c r="J1195" s="46"/>
      <c r="K1195" s="46"/>
    </row>
    <row r="1196" spans="1:11">
      <c r="A1196" s="45"/>
      <c r="B1196" s="45"/>
      <c r="C1196" s="45"/>
      <c r="D1196" s="46"/>
      <c r="E1196" s="46"/>
      <c r="F1196" s="46"/>
      <c r="G1196" s="46"/>
      <c r="H1196" s="46"/>
      <c r="I1196" s="46"/>
      <c r="J1196" s="46"/>
      <c r="K1196" s="46"/>
    </row>
    <row r="1197" spans="1:11">
      <c r="A1197" s="45"/>
      <c r="B1197" s="45"/>
      <c r="C1197" s="45"/>
      <c r="D1197" s="46"/>
      <c r="E1197" s="46"/>
      <c r="F1197" s="46"/>
      <c r="G1197" s="46"/>
      <c r="H1197" s="46"/>
      <c r="I1197" s="46"/>
      <c r="J1197" s="46"/>
      <c r="K1197" s="46"/>
    </row>
    <row r="1198" spans="1:11">
      <c r="A1198" s="45"/>
      <c r="B1198" s="45"/>
      <c r="C1198" s="45"/>
      <c r="D1198" s="46"/>
      <c r="E1198" s="46"/>
      <c r="F1198" s="46"/>
      <c r="G1198" s="46"/>
      <c r="H1198" s="46"/>
      <c r="I1198" s="46"/>
      <c r="J1198" s="46"/>
      <c r="K1198" s="46"/>
    </row>
    <row r="1199" spans="1:11">
      <c r="A1199" s="45"/>
      <c r="B1199" s="45"/>
      <c r="C1199" s="45"/>
      <c r="D1199" s="46"/>
      <c r="E1199" s="46"/>
      <c r="F1199" s="46"/>
      <c r="G1199" s="46"/>
      <c r="H1199" s="46"/>
      <c r="I1199" s="46"/>
      <c r="J1199" s="46"/>
      <c r="K1199" s="46"/>
    </row>
    <row r="1200" spans="1:11">
      <c r="A1200" s="45"/>
      <c r="B1200" s="45"/>
      <c r="C1200" s="45"/>
      <c r="D1200" s="46"/>
      <c r="E1200" s="46"/>
      <c r="F1200" s="46"/>
      <c r="G1200" s="46"/>
      <c r="H1200" s="46"/>
      <c r="I1200" s="46"/>
      <c r="J1200" s="46"/>
      <c r="K1200" s="46"/>
    </row>
    <row r="1201" spans="1:11">
      <c r="A1201" s="45"/>
      <c r="B1201" s="45"/>
      <c r="C1201" s="45"/>
      <c r="D1201" s="46"/>
      <c r="E1201" s="46"/>
      <c r="F1201" s="46"/>
      <c r="G1201" s="46"/>
      <c r="H1201" s="46"/>
      <c r="I1201" s="46"/>
      <c r="J1201" s="46"/>
      <c r="K1201" s="46"/>
    </row>
    <row r="1202" spans="1:11">
      <c r="A1202" s="45"/>
      <c r="B1202" s="45"/>
      <c r="C1202" s="45"/>
      <c r="D1202" s="46"/>
      <c r="E1202" s="46"/>
      <c r="F1202" s="46"/>
      <c r="G1202" s="46"/>
      <c r="H1202" s="46"/>
      <c r="I1202" s="46"/>
      <c r="J1202" s="46"/>
      <c r="K1202" s="46"/>
    </row>
    <row r="1203" spans="1:11">
      <c r="A1203" s="45"/>
      <c r="B1203" s="45"/>
      <c r="C1203" s="45"/>
      <c r="D1203" s="46"/>
      <c r="E1203" s="46"/>
      <c r="F1203" s="46"/>
      <c r="G1203" s="46"/>
      <c r="H1203" s="46"/>
      <c r="I1203" s="46"/>
      <c r="J1203" s="46"/>
      <c r="K1203" s="46"/>
    </row>
    <row r="1204" spans="1:11">
      <c r="A1204" s="45"/>
      <c r="B1204" s="45"/>
      <c r="C1204" s="45"/>
      <c r="D1204" s="46"/>
      <c r="E1204" s="46"/>
      <c r="F1204" s="46"/>
      <c r="G1204" s="46"/>
      <c r="H1204" s="46"/>
      <c r="I1204" s="46"/>
      <c r="J1204" s="46"/>
      <c r="K1204" s="46"/>
    </row>
    <row r="1205" spans="1:11">
      <c r="A1205" s="45"/>
      <c r="B1205" s="45"/>
      <c r="C1205" s="45"/>
      <c r="D1205" s="46"/>
      <c r="E1205" s="46"/>
      <c r="F1205" s="46"/>
      <c r="G1205" s="46"/>
      <c r="H1205" s="46"/>
      <c r="I1205" s="46"/>
      <c r="J1205" s="46"/>
      <c r="K1205" s="46"/>
    </row>
    <row r="1206" spans="1:11">
      <c r="A1206" s="45"/>
      <c r="B1206" s="45"/>
      <c r="C1206" s="45"/>
      <c r="D1206" s="46"/>
      <c r="E1206" s="46"/>
      <c r="F1206" s="46"/>
      <c r="G1206" s="46"/>
      <c r="H1206" s="46"/>
      <c r="I1206" s="46"/>
      <c r="J1206" s="46"/>
      <c r="K1206" s="46"/>
    </row>
    <row r="1207" spans="1:11">
      <c r="A1207" s="45"/>
      <c r="B1207" s="45"/>
      <c r="C1207" s="45"/>
      <c r="D1207" s="46"/>
      <c r="E1207" s="46"/>
      <c r="F1207" s="46"/>
      <c r="G1207" s="46"/>
      <c r="H1207" s="46"/>
      <c r="I1207" s="46"/>
      <c r="J1207" s="46"/>
      <c r="K1207" s="46"/>
    </row>
    <row r="1208" spans="1:11">
      <c r="A1208" s="45"/>
      <c r="B1208" s="45"/>
      <c r="C1208" s="45"/>
      <c r="D1208" s="46"/>
      <c r="E1208" s="46"/>
      <c r="F1208" s="46"/>
      <c r="G1208" s="46"/>
      <c r="H1208" s="46"/>
      <c r="I1208" s="46"/>
      <c r="J1208" s="46"/>
      <c r="K1208" s="46"/>
    </row>
    <row r="1209" spans="1:11">
      <c r="A1209" s="45"/>
      <c r="B1209" s="45"/>
      <c r="C1209" s="45"/>
      <c r="D1209" s="46"/>
      <c r="E1209" s="46"/>
      <c r="F1209" s="46"/>
      <c r="G1209" s="46"/>
      <c r="H1209" s="46"/>
      <c r="I1209" s="46"/>
      <c r="J1209" s="46"/>
      <c r="K1209" s="46"/>
    </row>
    <row r="1210" spans="1:11">
      <c r="A1210" s="45"/>
      <c r="B1210" s="45"/>
      <c r="C1210" s="45"/>
      <c r="D1210" s="46"/>
      <c r="E1210" s="46"/>
      <c r="F1210" s="46"/>
      <c r="G1210" s="46"/>
      <c r="H1210" s="46"/>
      <c r="I1210" s="46"/>
      <c r="J1210" s="46"/>
      <c r="K1210" s="46"/>
    </row>
    <row r="1211" spans="1:11">
      <c r="A1211" s="45"/>
      <c r="B1211" s="45"/>
      <c r="C1211" s="45"/>
      <c r="D1211" s="46"/>
      <c r="E1211" s="46"/>
      <c r="F1211" s="46"/>
      <c r="G1211" s="46"/>
      <c r="H1211" s="46"/>
      <c r="I1211" s="46"/>
      <c r="J1211" s="46"/>
      <c r="K1211" s="46"/>
    </row>
    <row r="1212" spans="1:11">
      <c r="A1212" s="45"/>
      <c r="B1212" s="45"/>
      <c r="C1212" s="45"/>
      <c r="D1212" s="46"/>
      <c r="E1212" s="46"/>
      <c r="F1212" s="46"/>
      <c r="G1212" s="46"/>
      <c r="H1212" s="46"/>
      <c r="I1212" s="46"/>
      <c r="J1212" s="46"/>
      <c r="K1212" s="46"/>
    </row>
    <row r="1213" spans="1:11">
      <c r="A1213" s="45"/>
      <c r="B1213" s="45"/>
      <c r="C1213" s="45"/>
      <c r="D1213" s="46"/>
      <c r="E1213" s="46"/>
      <c r="F1213" s="46"/>
      <c r="G1213" s="46"/>
      <c r="H1213" s="46"/>
      <c r="I1213" s="46"/>
      <c r="J1213" s="46"/>
      <c r="K1213" s="46"/>
    </row>
    <row r="1214" spans="1:11">
      <c r="A1214" s="45"/>
      <c r="B1214" s="45"/>
      <c r="C1214" s="45"/>
      <c r="D1214" s="46"/>
      <c r="E1214" s="46"/>
      <c r="F1214" s="46"/>
      <c r="G1214" s="46"/>
      <c r="H1214" s="46"/>
      <c r="I1214" s="46"/>
      <c r="J1214" s="46"/>
      <c r="K1214" s="46"/>
    </row>
    <row r="1215" spans="1:11">
      <c r="A1215" s="45"/>
      <c r="B1215" s="45"/>
      <c r="C1215" s="45"/>
      <c r="D1215" s="46"/>
      <c r="E1215" s="46"/>
      <c r="F1215" s="46"/>
      <c r="G1215" s="46"/>
      <c r="H1215" s="46"/>
      <c r="I1215" s="46"/>
      <c r="J1215" s="46"/>
      <c r="K1215" s="46"/>
    </row>
    <row r="1216" spans="1:11">
      <c r="A1216" s="45"/>
      <c r="B1216" s="45"/>
      <c r="C1216" s="45"/>
      <c r="D1216" s="46"/>
      <c r="E1216" s="46"/>
      <c r="F1216" s="46"/>
      <c r="G1216" s="46"/>
      <c r="H1216" s="46"/>
      <c r="I1216" s="46"/>
      <c r="J1216" s="46"/>
      <c r="K1216" s="46"/>
    </row>
    <row r="1217" spans="1:11">
      <c r="A1217" s="45"/>
      <c r="B1217" s="45"/>
      <c r="C1217" s="45"/>
      <c r="D1217" s="46"/>
      <c r="E1217" s="46"/>
      <c r="F1217" s="46"/>
      <c r="G1217" s="46"/>
      <c r="H1217" s="46"/>
      <c r="I1217" s="46"/>
      <c r="J1217" s="46"/>
      <c r="K1217" s="46"/>
    </row>
    <row r="1218" spans="1:11">
      <c r="A1218" s="45"/>
      <c r="B1218" s="45"/>
      <c r="C1218" s="45"/>
      <c r="D1218" s="46"/>
      <c r="E1218" s="46"/>
      <c r="F1218" s="46"/>
      <c r="G1218" s="46"/>
      <c r="H1218" s="46"/>
      <c r="I1218" s="46"/>
      <c r="J1218" s="46"/>
      <c r="K1218" s="46"/>
    </row>
    <row r="1219" spans="1:11">
      <c r="A1219" s="45"/>
      <c r="B1219" s="45"/>
      <c r="C1219" s="45"/>
      <c r="D1219" s="46"/>
      <c r="E1219" s="46"/>
      <c r="F1219" s="46"/>
      <c r="G1219" s="46"/>
      <c r="H1219" s="46"/>
      <c r="I1219" s="46"/>
      <c r="J1219" s="46"/>
      <c r="K1219" s="46"/>
    </row>
    <row r="1220" spans="1:11">
      <c r="A1220" s="45"/>
      <c r="B1220" s="45"/>
      <c r="C1220" s="45"/>
      <c r="D1220" s="46"/>
      <c r="E1220" s="46"/>
      <c r="F1220" s="46"/>
      <c r="G1220" s="46"/>
      <c r="H1220" s="46"/>
      <c r="I1220" s="46"/>
      <c r="J1220" s="46"/>
      <c r="K1220" s="46"/>
    </row>
    <row r="1221" spans="1:11">
      <c r="A1221" s="45"/>
      <c r="B1221" s="45"/>
      <c r="C1221" s="45"/>
      <c r="D1221" s="46"/>
      <c r="E1221" s="46"/>
      <c r="F1221" s="46"/>
      <c r="G1221" s="46"/>
      <c r="H1221" s="46"/>
      <c r="I1221" s="46"/>
      <c r="J1221" s="46"/>
      <c r="K1221" s="46"/>
    </row>
    <row r="1222" spans="1:11">
      <c r="A1222" s="45"/>
      <c r="B1222" s="45"/>
      <c r="C1222" s="45"/>
      <c r="D1222" s="46"/>
      <c r="E1222" s="46"/>
      <c r="F1222" s="46"/>
      <c r="G1222" s="46"/>
      <c r="H1222" s="46"/>
      <c r="I1222" s="46"/>
      <c r="J1222" s="46"/>
      <c r="K1222" s="46"/>
    </row>
    <row r="1223" spans="1:11">
      <c r="A1223" s="45"/>
      <c r="B1223" s="45"/>
      <c r="C1223" s="45"/>
      <c r="D1223" s="46"/>
      <c r="E1223" s="46"/>
      <c r="F1223" s="46"/>
      <c r="G1223" s="46"/>
      <c r="H1223" s="46"/>
      <c r="I1223" s="46"/>
      <c r="J1223" s="46"/>
      <c r="K1223" s="46"/>
    </row>
    <row r="1224" spans="1:11">
      <c r="A1224" s="45"/>
      <c r="B1224" s="45"/>
      <c r="C1224" s="45"/>
      <c r="D1224" s="46"/>
      <c r="E1224" s="46"/>
      <c r="F1224" s="46"/>
      <c r="G1224" s="46"/>
      <c r="H1224" s="46"/>
      <c r="I1224" s="46"/>
      <c r="J1224" s="46"/>
      <c r="K1224" s="46"/>
    </row>
    <row r="1225" spans="1:11">
      <c r="A1225" s="45"/>
      <c r="B1225" s="45"/>
      <c r="C1225" s="45"/>
      <c r="D1225" s="46"/>
      <c r="E1225" s="46"/>
      <c r="F1225" s="46"/>
      <c r="G1225" s="46"/>
      <c r="H1225" s="46"/>
      <c r="I1225" s="46"/>
      <c r="J1225" s="46"/>
      <c r="K1225" s="46"/>
    </row>
    <row r="1226" spans="1:11">
      <c r="A1226" s="45"/>
      <c r="B1226" s="45"/>
      <c r="C1226" s="45"/>
      <c r="D1226" s="46"/>
      <c r="E1226" s="46"/>
      <c r="F1226" s="46"/>
      <c r="G1226" s="46"/>
      <c r="H1226" s="46"/>
      <c r="I1226" s="46"/>
      <c r="J1226" s="46"/>
      <c r="K1226" s="46"/>
    </row>
    <row r="1227" spans="1:11">
      <c r="A1227" s="45"/>
      <c r="B1227" s="45"/>
      <c r="C1227" s="45"/>
      <c r="D1227" s="46"/>
      <c r="E1227" s="46"/>
      <c r="F1227" s="46"/>
      <c r="G1227" s="46"/>
      <c r="H1227" s="46"/>
      <c r="I1227" s="46"/>
      <c r="J1227" s="46"/>
      <c r="K1227" s="46"/>
    </row>
    <row r="1228" spans="1:11">
      <c r="A1228" s="45"/>
      <c r="B1228" s="45"/>
      <c r="C1228" s="45"/>
      <c r="D1228" s="46"/>
      <c r="E1228" s="46"/>
      <c r="F1228" s="46"/>
      <c r="G1228" s="46"/>
      <c r="H1228" s="46"/>
      <c r="I1228" s="46"/>
      <c r="J1228" s="46"/>
      <c r="K1228" s="46"/>
    </row>
    <row r="1229" spans="1:11">
      <c r="A1229" s="45"/>
      <c r="B1229" s="45"/>
      <c r="C1229" s="45"/>
      <c r="D1229" s="46"/>
      <c r="E1229" s="46"/>
      <c r="F1229" s="46"/>
      <c r="G1229" s="46"/>
      <c r="H1229" s="46"/>
      <c r="I1229" s="46"/>
      <c r="J1229" s="46"/>
      <c r="K1229" s="46"/>
    </row>
    <row r="1230" spans="1:11">
      <c r="A1230" s="45"/>
      <c r="B1230" s="45"/>
      <c r="C1230" s="45"/>
      <c r="D1230" s="46"/>
      <c r="E1230" s="46"/>
      <c r="F1230" s="46"/>
      <c r="G1230" s="46"/>
      <c r="H1230" s="46"/>
      <c r="I1230" s="46"/>
      <c r="J1230" s="46"/>
      <c r="K1230" s="46"/>
    </row>
    <row r="1231" spans="1:11">
      <c r="A1231" s="45"/>
      <c r="B1231" s="45"/>
      <c r="C1231" s="45"/>
      <c r="D1231" s="46"/>
      <c r="E1231" s="46"/>
      <c r="F1231" s="46"/>
      <c r="G1231" s="46"/>
      <c r="H1231" s="46"/>
      <c r="I1231" s="46"/>
      <c r="J1231" s="46"/>
      <c r="K1231" s="46"/>
    </row>
    <row r="1232" spans="1:11">
      <c r="A1232" s="45"/>
      <c r="B1232" s="45"/>
      <c r="C1232" s="45"/>
      <c r="D1232" s="46"/>
      <c r="E1232" s="46"/>
      <c r="F1232" s="46"/>
      <c r="G1232" s="46"/>
      <c r="H1232" s="46"/>
      <c r="I1232" s="46"/>
      <c r="J1232" s="46"/>
      <c r="K1232" s="46"/>
    </row>
    <row r="1233" spans="1:11">
      <c r="A1233" s="45"/>
      <c r="B1233" s="45"/>
      <c r="C1233" s="45"/>
      <c r="D1233" s="46"/>
      <c r="E1233" s="46"/>
      <c r="F1233" s="46"/>
      <c r="G1233" s="46"/>
      <c r="H1233" s="46"/>
      <c r="I1233" s="46"/>
      <c r="J1233" s="46"/>
      <c r="K1233" s="46"/>
    </row>
    <row r="1234" spans="1:11">
      <c r="A1234" s="45"/>
      <c r="B1234" s="45"/>
      <c r="C1234" s="45"/>
      <c r="D1234" s="46"/>
      <c r="E1234" s="46"/>
      <c r="F1234" s="46"/>
      <c r="G1234" s="46"/>
      <c r="H1234" s="46"/>
      <c r="I1234" s="46"/>
      <c r="J1234" s="46"/>
      <c r="K1234" s="46"/>
    </row>
    <row r="1235" spans="1:11">
      <c r="A1235" s="45"/>
      <c r="B1235" s="45"/>
      <c r="C1235" s="45"/>
      <c r="D1235" s="46"/>
      <c r="E1235" s="46"/>
      <c r="F1235" s="46"/>
      <c r="G1235" s="46"/>
      <c r="H1235" s="46"/>
      <c r="I1235" s="46"/>
      <c r="J1235" s="46"/>
      <c r="K1235" s="46"/>
    </row>
    <row r="1236" spans="1:11">
      <c r="A1236" s="45"/>
      <c r="B1236" s="45"/>
      <c r="C1236" s="45"/>
      <c r="D1236" s="46"/>
      <c r="E1236" s="46"/>
      <c r="F1236" s="46"/>
      <c r="G1236" s="46"/>
      <c r="H1236" s="46"/>
      <c r="I1236" s="46"/>
      <c r="J1236" s="46"/>
      <c r="K1236" s="46"/>
    </row>
    <row r="1237" spans="1:11">
      <c r="A1237" s="45"/>
      <c r="B1237" s="45"/>
      <c r="C1237" s="45"/>
      <c r="D1237" s="46"/>
      <c r="E1237" s="46"/>
      <c r="F1237" s="46"/>
      <c r="G1237" s="46"/>
      <c r="H1237" s="46"/>
      <c r="I1237" s="46"/>
      <c r="J1237" s="46"/>
      <c r="K1237" s="46"/>
    </row>
    <row r="1238" spans="1:11">
      <c r="A1238" s="45"/>
      <c r="B1238" s="45"/>
      <c r="C1238" s="45"/>
      <c r="D1238" s="46"/>
      <c r="E1238" s="46"/>
      <c r="F1238" s="46"/>
      <c r="G1238" s="46"/>
      <c r="H1238" s="46"/>
      <c r="I1238" s="46"/>
      <c r="J1238" s="46"/>
      <c r="K1238" s="46"/>
    </row>
    <row r="1239" spans="1:11">
      <c r="A1239" s="45"/>
      <c r="B1239" s="45"/>
      <c r="C1239" s="45"/>
      <c r="D1239" s="46"/>
      <c r="E1239" s="46"/>
      <c r="F1239" s="46"/>
      <c r="G1239" s="46"/>
      <c r="H1239" s="46"/>
      <c r="I1239" s="46"/>
      <c r="J1239" s="46"/>
      <c r="K1239" s="46"/>
    </row>
    <row r="1240" spans="1:11">
      <c r="A1240" s="45"/>
      <c r="B1240" s="45"/>
      <c r="C1240" s="45"/>
      <c r="D1240" s="46"/>
      <c r="E1240" s="46"/>
      <c r="F1240" s="46"/>
      <c r="G1240" s="46"/>
      <c r="H1240" s="46"/>
      <c r="I1240" s="46"/>
      <c r="J1240" s="46"/>
      <c r="K1240" s="46"/>
    </row>
    <row r="1241" spans="1:11">
      <c r="A1241" s="45"/>
      <c r="B1241" s="45"/>
      <c r="C1241" s="45"/>
      <c r="D1241" s="46"/>
      <c r="E1241" s="46"/>
      <c r="F1241" s="46"/>
      <c r="G1241" s="46"/>
      <c r="H1241" s="46"/>
      <c r="I1241" s="46"/>
      <c r="J1241" s="46"/>
      <c r="K1241" s="46"/>
    </row>
    <row r="1242" spans="1:11">
      <c r="A1242" s="45"/>
      <c r="B1242" s="45"/>
      <c r="C1242" s="45"/>
      <c r="D1242" s="46"/>
      <c r="E1242" s="46"/>
      <c r="F1242" s="46"/>
      <c r="G1242" s="46"/>
      <c r="H1242" s="46"/>
      <c r="I1242" s="46"/>
      <c r="J1242" s="46"/>
      <c r="K1242" s="46"/>
    </row>
    <row r="1243" spans="1:11">
      <c r="A1243" s="45"/>
      <c r="B1243" s="45"/>
      <c r="C1243" s="45"/>
      <c r="D1243" s="46"/>
      <c r="E1243" s="46"/>
      <c r="F1243" s="46"/>
      <c r="G1243" s="46"/>
      <c r="H1243" s="46"/>
      <c r="I1243" s="46"/>
      <c r="J1243" s="46"/>
      <c r="K1243" s="46"/>
    </row>
    <row r="1244" spans="1:11">
      <c r="A1244" s="45"/>
      <c r="B1244" s="45"/>
      <c r="C1244" s="45"/>
      <c r="D1244" s="46"/>
      <c r="E1244" s="46"/>
      <c r="F1244" s="46"/>
      <c r="G1244" s="46"/>
      <c r="H1244" s="46"/>
      <c r="I1244" s="46"/>
      <c r="J1244" s="46"/>
      <c r="K1244" s="46"/>
    </row>
    <row r="1245" spans="1:11">
      <c r="A1245" s="45"/>
      <c r="B1245" s="45"/>
      <c r="C1245" s="45"/>
      <c r="D1245" s="46"/>
      <c r="E1245" s="46"/>
      <c r="F1245" s="46"/>
      <c r="G1245" s="46"/>
      <c r="H1245" s="46"/>
      <c r="I1245" s="46"/>
      <c r="J1245" s="46"/>
      <c r="K1245" s="46"/>
    </row>
    <row r="1246" spans="1:11">
      <c r="A1246" s="45"/>
      <c r="B1246" s="45"/>
      <c r="C1246" s="45"/>
      <c r="D1246" s="46"/>
      <c r="E1246" s="46"/>
      <c r="F1246" s="46"/>
      <c r="G1246" s="46"/>
      <c r="H1246" s="46"/>
      <c r="I1246" s="46"/>
      <c r="J1246" s="46"/>
      <c r="K1246" s="46"/>
    </row>
    <row r="1247" spans="1:11">
      <c r="A1247" s="45"/>
      <c r="B1247" s="45"/>
      <c r="C1247" s="45"/>
      <c r="D1247" s="46"/>
      <c r="E1247" s="46"/>
      <c r="F1247" s="46"/>
      <c r="G1247" s="46"/>
      <c r="H1247" s="46"/>
      <c r="I1247" s="46"/>
      <c r="J1247" s="46"/>
      <c r="K1247" s="46"/>
    </row>
    <row r="1248" spans="1:11">
      <c r="A1248" s="45"/>
      <c r="B1248" s="45"/>
      <c r="C1248" s="45"/>
      <c r="D1248" s="46"/>
      <c r="E1248" s="46"/>
      <c r="F1248" s="46"/>
      <c r="G1248" s="46"/>
      <c r="H1248" s="46"/>
      <c r="I1248" s="46"/>
      <c r="J1248" s="46"/>
      <c r="K1248" s="46"/>
    </row>
    <row r="1249" spans="1:11">
      <c r="A1249" s="45"/>
      <c r="B1249" s="45"/>
      <c r="C1249" s="45"/>
      <c r="D1249" s="46"/>
      <c r="E1249" s="46"/>
      <c r="F1249" s="46"/>
      <c r="G1249" s="46"/>
      <c r="H1249" s="46"/>
      <c r="I1249" s="46"/>
      <c r="J1249" s="46"/>
      <c r="K1249" s="46"/>
    </row>
    <row r="1250" spans="1:11">
      <c r="A1250" s="45"/>
      <c r="B1250" s="45"/>
      <c r="C1250" s="45"/>
      <c r="D1250" s="46"/>
      <c r="E1250" s="46"/>
      <c r="F1250" s="46"/>
      <c r="G1250" s="46"/>
      <c r="H1250" s="46"/>
      <c r="I1250" s="46"/>
      <c r="J1250" s="46"/>
      <c r="K1250" s="46"/>
    </row>
    <row r="1251" spans="1:11">
      <c r="A1251" s="45"/>
      <c r="B1251" s="45"/>
      <c r="C1251" s="45"/>
      <c r="D1251" s="46"/>
      <c r="E1251" s="46"/>
      <c r="F1251" s="46"/>
      <c r="G1251" s="46"/>
      <c r="H1251" s="46"/>
      <c r="I1251" s="46"/>
      <c r="J1251" s="46"/>
      <c r="K1251" s="46"/>
    </row>
    <row r="1252" spans="1:11">
      <c r="A1252" s="45"/>
      <c r="B1252" s="45"/>
      <c r="C1252" s="45"/>
      <c r="D1252" s="46"/>
      <c r="E1252" s="46"/>
      <c r="F1252" s="46"/>
      <c r="G1252" s="46"/>
      <c r="H1252" s="46"/>
      <c r="I1252" s="46"/>
      <c r="J1252" s="46"/>
      <c r="K1252" s="46"/>
    </row>
    <row r="1253" spans="1:11">
      <c r="A1253" s="45"/>
      <c r="B1253" s="45"/>
      <c r="C1253" s="45"/>
      <c r="D1253" s="46"/>
      <c r="E1253" s="46"/>
      <c r="F1253" s="46"/>
      <c r="G1253" s="46"/>
      <c r="H1253" s="46"/>
      <c r="I1253" s="46"/>
      <c r="J1253" s="46"/>
      <c r="K1253" s="46"/>
    </row>
    <row r="1254" spans="1:11">
      <c r="A1254" s="45"/>
      <c r="B1254" s="45"/>
      <c r="C1254" s="45"/>
      <c r="D1254" s="46"/>
      <c r="E1254" s="46"/>
      <c r="F1254" s="46"/>
      <c r="G1254" s="46"/>
      <c r="H1254" s="46"/>
      <c r="I1254" s="46"/>
      <c r="J1254" s="46"/>
      <c r="K1254" s="46"/>
    </row>
    <row r="1255" spans="1:11">
      <c r="A1255" s="45"/>
      <c r="B1255" s="45"/>
      <c r="C1255" s="45"/>
      <c r="D1255" s="46"/>
      <c r="E1255" s="46"/>
      <c r="F1255" s="46"/>
      <c r="G1255" s="46"/>
      <c r="H1255" s="46"/>
      <c r="I1255" s="46"/>
      <c r="J1255" s="46"/>
      <c r="K1255" s="46"/>
    </row>
    <row r="1256" spans="1:11">
      <c r="A1256" s="45"/>
      <c r="B1256" s="45"/>
      <c r="C1256" s="45"/>
      <c r="D1256" s="46"/>
      <c r="E1256" s="46"/>
      <c r="F1256" s="46"/>
      <c r="G1256" s="46"/>
      <c r="H1256" s="46"/>
      <c r="I1256" s="46"/>
      <c r="J1256" s="46"/>
      <c r="K1256" s="46"/>
    </row>
    <row r="1257" spans="1:11">
      <c r="A1257" s="45"/>
      <c r="B1257" s="45"/>
      <c r="C1257" s="45"/>
      <c r="D1257" s="46"/>
      <c r="E1257" s="46"/>
      <c r="F1257" s="46"/>
      <c r="G1257" s="46"/>
      <c r="H1257" s="46"/>
      <c r="I1257" s="46"/>
      <c r="J1257" s="46"/>
      <c r="K1257" s="46"/>
    </row>
    <row r="1258" spans="1:11">
      <c r="A1258" s="45"/>
      <c r="B1258" s="45"/>
      <c r="C1258" s="45"/>
      <c r="D1258" s="46"/>
      <c r="E1258" s="46"/>
      <c r="F1258" s="46"/>
      <c r="G1258" s="46"/>
      <c r="H1258" s="46"/>
      <c r="I1258" s="46"/>
      <c r="J1258" s="46"/>
      <c r="K1258" s="46"/>
    </row>
    <row r="1259" spans="1:11">
      <c r="A1259" s="45"/>
      <c r="B1259" s="45"/>
      <c r="C1259" s="45"/>
      <c r="D1259" s="46"/>
      <c r="E1259" s="46"/>
      <c r="F1259" s="46"/>
      <c r="G1259" s="46"/>
      <c r="H1259" s="46"/>
      <c r="I1259" s="46"/>
      <c r="J1259" s="46"/>
      <c r="K1259" s="46"/>
    </row>
    <row r="1260" spans="1:11">
      <c r="A1260" s="45"/>
      <c r="B1260" s="45"/>
      <c r="C1260" s="45"/>
      <c r="D1260" s="46"/>
      <c r="E1260" s="46"/>
      <c r="F1260" s="46"/>
      <c r="G1260" s="46"/>
      <c r="H1260" s="46"/>
      <c r="I1260" s="46"/>
      <c r="J1260" s="46"/>
      <c r="K1260" s="46"/>
    </row>
    <row r="1261" spans="1:11">
      <c r="A1261" s="45"/>
      <c r="B1261" s="45"/>
      <c r="C1261" s="45"/>
      <c r="D1261" s="46"/>
      <c r="E1261" s="46"/>
      <c r="F1261" s="46"/>
      <c r="G1261" s="46"/>
      <c r="H1261" s="46"/>
      <c r="I1261" s="46"/>
      <c r="J1261" s="46"/>
      <c r="K1261" s="46"/>
    </row>
    <row r="1262" spans="1:11">
      <c r="A1262" s="45"/>
      <c r="B1262" s="45"/>
      <c r="C1262" s="45"/>
      <c r="D1262" s="46"/>
      <c r="E1262" s="46"/>
      <c r="F1262" s="46"/>
      <c r="G1262" s="46"/>
      <c r="H1262" s="46"/>
      <c r="I1262" s="46"/>
      <c r="J1262" s="46"/>
      <c r="K1262" s="46"/>
    </row>
    <row r="1263" spans="1:11">
      <c r="A1263" s="45"/>
      <c r="B1263" s="45"/>
      <c r="C1263" s="45"/>
      <c r="D1263" s="46"/>
      <c r="E1263" s="46"/>
      <c r="F1263" s="46"/>
      <c r="G1263" s="46"/>
      <c r="H1263" s="46"/>
      <c r="I1263" s="46"/>
      <c r="J1263" s="46"/>
      <c r="K1263" s="46"/>
    </row>
    <row r="1264" spans="1:11">
      <c r="A1264" s="45"/>
      <c r="B1264" s="45"/>
      <c r="C1264" s="45"/>
      <c r="D1264" s="46"/>
      <c r="E1264" s="46"/>
      <c r="F1264" s="46"/>
      <c r="G1264" s="46"/>
      <c r="H1264" s="46"/>
      <c r="I1264" s="46"/>
      <c r="J1264" s="46"/>
      <c r="K1264" s="46"/>
    </row>
    <row r="1265" spans="1:11">
      <c r="A1265" s="45"/>
      <c r="B1265" s="45"/>
      <c r="C1265" s="45"/>
      <c r="D1265" s="46"/>
      <c r="E1265" s="46"/>
      <c r="F1265" s="46"/>
      <c r="G1265" s="46"/>
      <c r="H1265" s="46"/>
      <c r="I1265" s="46"/>
      <c r="J1265" s="46"/>
      <c r="K1265" s="46"/>
    </row>
    <row r="1266" spans="1:11">
      <c r="A1266" s="45"/>
      <c r="B1266" s="45"/>
      <c r="C1266" s="45"/>
      <c r="D1266" s="46"/>
      <c r="E1266" s="46"/>
      <c r="F1266" s="46"/>
      <c r="G1266" s="46"/>
      <c r="H1266" s="46"/>
      <c r="I1266" s="46"/>
      <c r="J1266" s="46"/>
      <c r="K1266" s="46"/>
    </row>
    <row r="1267" spans="1:11">
      <c r="A1267" s="45"/>
      <c r="B1267" s="45"/>
      <c r="C1267" s="45"/>
      <c r="D1267" s="46"/>
      <c r="E1267" s="46"/>
      <c r="F1267" s="46"/>
      <c r="G1267" s="46"/>
      <c r="H1267" s="46"/>
      <c r="I1267" s="46"/>
      <c r="J1267" s="46"/>
      <c r="K1267" s="46"/>
    </row>
    <row r="1268" spans="1:11">
      <c r="A1268" s="45"/>
      <c r="B1268" s="45"/>
      <c r="C1268" s="45"/>
      <c r="D1268" s="46"/>
      <c r="E1268" s="46"/>
      <c r="F1268" s="46"/>
      <c r="G1268" s="46"/>
      <c r="H1268" s="46"/>
      <c r="I1268" s="46"/>
      <c r="J1268" s="46"/>
      <c r="K1268" s="46"/>
    </row>
    <row r="1269" spans="1:11">
      <c r="A1269" s="45"/>
      <c r="B1269" s="45"/>
      <c r="C1269" s="45"/>
      <c r="D1269" s="46"/>
      <c r="E1269" s="46"/>
      <c r="F1269" s="46"/>
      <c r="G1269" s="46"/>
      <c r="H1269" s="46"/>
      <c r="I1269" s="46"/>
      <c r="J1269" s="46"/>
      <c r="K1269" s="46"/>
    </row>
    <row r="1270" spans="1:11">
      <c r="A1270" s="45"/>
      <c r="B1270" s="45"/>
      <c r="C1270" s="45"/>
      <c r="D1270" s="46"/>
      <c r="E1270" s="46"/>
      <c r="F1270" s="46"/>
      <c r="G1270" s="46"/>
      <c r="H1270" s="46"/>
      <c r="I1270" s="46"/>
      <c r="J1270" s="46"/>
      <c r="K1270" s="46"/>
    </row>
    <row r="1271" spans="1:11">
      <c r="A1271" s="45"/>
      <c r="B1271" s="45"/>
      <c r="C1271" s="45"/>
      <c r="D1271" s="46"/>
      <c r="E1271" s="46"/>
      <c r="F1271" s="46"/>
      <c r="G1271" s="46"/>
      <c r="H1271" s="46"/>
      <c r="I1271" s="46"/>
      <c r="J1271" s="46"/>
      <c r="K1271" s="46"/>
    </row>
    <row r="1272" spans="1:11">
      <c r="A1272" s="45"/>
      <c r="B1272" s="45"/>
      <c r="C1272" s="45"/>
      <c r="D1272" s="46"/>
      <c r="E1272" s="46"/>
      <c r="F1272" s="46"/>
      <c r="G1272" s="46"/>
      <c r="H1272" s="46"/>
      <c r="I1272" s="46"/>
      <c r="J1272" s="46"/>
      <c r="K1272" s="46"/>
    </row>
    <row r="1273" spans="1:11">
      <c r="A1273" s="45"/>
      <c r="B1273" s="45"/>
      <c r="C1273" s="45"/>
      <c r="D1273" s="46"/>
      <c r="E1273" s="46"/>
      <c r="F1273" s="46"/>
      <c r="G1273" s="46"/>
      <c r="H1273" s="46"/>
      <c r="I1273" s="46"/>
      <c r="J1273" s="46"/>
      <c r="K1273" s="46"/>
    </row>
    <row r="1274" spans="1:11">
      <c r="A1274" s="45"/>
      <c r="B1274" s="45"/>
      <c r="C1274" s="45"/>
      <c r="D1274" s="46"/>
      <c r="E1274" s="46"/>
      <c r="F1274" s="46"/>
      <c r="G1274" s="46"/>
      <c r="H1274" s="46"/>
      <c r="I1274" s="46"/>
      <c r="J1274" s="46"/>
      <c r="K1274" s="46"/>
    </row>
    <row r="1275" spans="1:11">
      <c r="A1275" s="45"/>
      <c r="B1275" s="45"/>
      <c r="C1275" s="45"/>
      <c r="D1275" s="46"/>
      <c r="E1275" s="46"/>
      <c r="F1275" s="46"/>
      <c r="G1275" s="46"/>
      <c r="H1275" s="46"/>
      <c r="I1275" s="46"/>
      <c r="J1275" s="46"/>
      <c r="K1275" s="46"/>
    </row>
    <row r="1276" spans="1:11">
      <c r="A1276" s="45"/>
      <c r="B1276" s="45"/>
      <c r="C1276" s="45"/>
      <c r="D1276" s="46"/>
      <c r="E1276" s="46"/>
      <c r="F1276" s="46"/>
      <c r="G1276" s="46"/>
      <c r="H1276" s="46"/>
      <c r="I1276" s="46"/>
      <c r="J1276" s="46"/>
      <c r="K1276" s="46"/>
    </row>
    <row r="1277" spans="1:11">
      <c r="A1277" s="45"/>
      <c r="B1277" s="45"/>
      <c r="C1277" s="45"/>
      <c r="D1277" s="46"/>
      <c r="E1277" s="46"/>
      <c r="F1277" s="46"/>
      <c r="G1277" s="46"/>
      <c r="H1277" s="46"/>
      <c r="I1277" s="46"/>
      <c r="J1277" s="46"/>
      <c r="K1277" s="46"/>
    </row>
    <row r="1278" spans="1:11">
      <c r="A1278" s="45"/>
      <c r="B1278" s="45"/>
      <c r="C1278" s="45"/>
      <c r="D1278" s="46"/>
      <c r="E1278" s="46"/>
      <c r="F1278" s="46"/>
      <c r="G1278" s="46"/>
      <c r="H1278" s="46"/>
      <c r="I1278" s="46"/>
      <c r="J1278" s="46"/>
      <c r="K1278" s="46"/>
    </row>
    <row r="1279" spans="1:11">
      <c r="A1279" s="45"/>
      <c r="B1279" s="45"/>
      <c r="C1279" s="45"/>
      <c r="D1279" s="46"/>
      <c r="E1279" s="46"/>
      <c r="F1279" s="46"/>
      <c r="G1279" s="46"/>
      <c r="H1279" s="46"/>
      <c r="I1279" s="46"/>
      <c r="J1279" s="46"/>
      <c r="K1279" s="46"/>
    </row>
    <row r="1280" spans="1:11">
      <c r="A1280" s="45"/>
      <c r="B1280" s="45"/>
      <c r="C1280" s="45"/>
      <c r="D1280" s="46"/>
      <c r="E1280" s="46"/>
      <c r="F1280" s="46"/>
      <c r="G1280" s="46"/>
      <c r="H1280" s="46"/>
      <c r="I1280" s="46"/>
      <c r="J1280" s="46"/>
      <c r="K1280" s="46"/>
    </row>
    <row r="1281" spans="1:11">
      <c r="A1281" s="45"/>
      <c r="B1281" s="45"/>
      <c r="C1281" s="45"/>
      <c r="D1281" s="46"/>
      <c r="E1281" s="46"/>
      <c r="F1281" s="46"/>
      <c r="G1281" s="46"/>
      <c r="H1281" s="46"/>
      <c r="I1281" s="46"/>
      <c r="J1281" s="46"/>
      <c r="K1281" s="46"/>
    </row>
    <row r="1282" spans="1:11">
      <c r="A1282" s="45"/>
      <c r="B1282" s="45"/>
      <c r="C1282" s="45"/>
      <c r="D1282" s="46"/>
      <c r="E1282" s="46"/>
      <c r="F1282" s="46"/>
      <c r="G1282" s="46"/>
      <c r="H1282" s="46"/>
      <c r="I1282" s="46"/>
      <c r="J1282" s="46"/>
      <c r="K1282" s="46"/>
    </row>
    <row r="1283" spans="1:11">
      <c r="A1283" s="45"/>
      <c r="B1283" s="45"/>
      <c r="C1283" s="45"/>
      <c r="D1283" s="46"/>
      <c r="E1283" s="46"/>
      <c r="F1283" s="46"/>
      <c r="G1283" s="46"/>
      <c r="H1283" s="46"/>
      <c r="I1283" s="46"/>
      <c r="J1283" s="46"/>
      <c r="K1283" s="46"/>
    </row>
    <row r="1284" spans="1:11">
      <c r="A1284" s="45"/>
      <c r="B1284" s="45"/>
      <c r="C1284" s="45"/>
      <c r="D1284" s="46"/>
      <c r="E1284" s="46"/>
      <c r="F1284" s="46"/>
      <c r="G1284" s="46"/>
      <c r="H1284" s="46"/>
      <c r="I1284" s="46"/>
      <c r="J1284" s="46"/>
      <c r="K1284" s="46"/>
    </row>
    <row r="1285" spans="1:11">
      <c r="A1285" s="45"/>
      <c r="B1285" s="45"/>
      <c r="C1285" s="45"/>
      <c r="D1285" s="46"/>
      <c r="E1285" s="46"/>
      <c r="F1285" s="46"/>
      <c r="G1285" s="46"/>
      <c r="H1285" s="46"/>
      <c r="I1285" s="46"/>
      <c r="J1285" s="46"/>
      <c r="K1285" s="46"/>
    </row>
    <row r="1286" spans="1:11">
      <c r="A1286" s="45"/>
      <c r="B1286" s="45"/>
      <c r="C1286" s="45"/>
      <c r="D1286" s="46"/>
      <c r="E1286" s="46"/>
      <c r="F1286" s="46"/>
      <c r="G1286" s="46"/>
      <c r="H1286" s="46"/>
      <c r="I1286" s="46"/>
      <c r="J1286" s="46"/>
      <c r="K1286" s="46"/>
    </row>
    <row r="1287" spans="1:11">
      <c r="A1287" s="45"/>
      <c r="B1287" s="45"/>
      <c r="C1287" s="45"/>
      <c r="D1287" s="46"/>
      <c r="E1287" s="46"/>
      <c r="F1287" s="46"/>
      <c r="G1287" s="46"/>
      <c r="H1287" s="46"/>
      <c r="I1287" s="46"/>
      <c r="J1287" s="46"/>
      <c r="K1287" s="46"/>
    </row>
    <row r="1288" spans="1:11">
      <c r="A1288" s="45"/>
      <c r="B1288" s="45"/>
      <c r="C1288" s="45"/>
      <c r="D1288" s="46"/>
      <c r="E1288" s="46"/>
      <c r="F1288" s="46"/>
      <c r="G1288" s="46"/>
      <c r="H1288" s="46"/>
      <c r="I1288" s="46"/>
      <c r="J1288" s="46"/>
      <c r="K1288" s="46"/>
    </row>
    <row r="1289" spans="1:11">
      <c r="A1289" s="45"/>
      <c r="B1289" s="45"/>
      <c r="C1289" s="45"/>
      <c r="D1289" s="46"/>
      <c r="E1289" s="46"/>
      <c r="F1289" s="46"/>
      <c r="G1289" s="46"/>
      <c r="H1289" s="46"/>
      <c r="I1289" s="46"/>
      <c r="J1289" s="46"/>
      <c r="K1289" s="46"/>
    </row>
    <row r="1290" spans="1:11">
      <c r="A1290" s="45"/>
      <c r="B1290" s="45"/>
      <c r="C1290" s="45"/>
      <c r="D1290" s="46"/>
      <c r="E1290" s="46"/>
      <c r="F1290" s="46"/>
      <c r="G1290" s="46"/>
      <c r="H1290" s="46"/>
      <c r="I1290" s="46"/>
      <c r="J1290" s="46"/>
      <c r="K1290" s="46"/>
    </row>
    <row r="1291" spans="1:11">
      <c r="A1291" s="45"/>
      <c r="B1291" s="45"/>
      <c r="C1291" s="45"/>
      <c r="D1291" s="46"/>
      <c r="E1291" s="46"/>
      <c r="F1291" s="46"/>
      <c r="G1291" s="46"/>
      <c r="H1291" s="46"/>
      <c r="I1291" s="46"/>
      <c r="J1291" s="46"/>
      <c r="K1291" s="46"/>
    </row>
    <row r="1292" spans="1:11">
      <c r="A1292" s="45"/>
      <c r="B1292" s="45"/>
      <c r="C1292" s="45"/>
      <c r="D1292" s="46"/>
      <c r="E1292" s="46"/>
      <c r="F1292" s="46"/>
      <c r="G1292" s="46"/>
      <c r="H1292" s="46"/>
      <c r="I1292" s="46"/>
      <c r="J1292" s="46"/>
      <c r="K1292" s="46"/>
    </row>
    <row r="1293" spans="1:11">
      <c r="A1293" s="45"/>
      <c r="B1293" s="45"/>
      <c r="C1293" s="45"/>
      <c r="D1293" s="46"/>
      <c r="E1293" s="46"/>
      <c r="F1293" s="46"/>
      <c r="G1293" s="46"/>
      <c r="H1293" s="46"/>
      <c r="I1293" s="46"/>
      <c r="J1293" s="46"/>
      <c r="K1293" s="46"/>
    </row>
    <row r="1294" spans="1:11">
      <c r="A1294" s="45"/>
      <c r="B1294" s="45"/>
      <c r="C1294" s="45"/>
      <c r="D1294" s="46"/>
      <c r="E1294" s="46"/>
      <c r="F1294" s="46"/>
      <c r="G1294" s="46"/>
      <c r="H1294" s="46"/>
      <c r="I1294" s="46"/>
      <c r="J1294" s="46"/>
      <c r="K1294" s="46"/>
    </row>
    <row r="1295" spans="1:11">
      <c r="A1295" s="45"/>
      <c r="B1295" s="45"/>
      <c r="C1295" s="45"/>
      <c r="D1295" s="46"/>
      <c r="E1295" s="46"/>
      <c r="F1295" s="46"/>
      <c r="G1295" s="46"/>
      <c r="H1295" s="46"/>
      <c r="I1295" s="46"/>
      <c r="J1295" s="46"/>
      <c r="K1295" s="46"/>
    </row>
    <row r="1296" spans="1:11">
      <c r="A1296" s="45"/>
      <c r="B1296" s="45"/>
      <c r="C1296" s="45"/>
      <c r="D1296" s="46"/>
      <c r="E1296" s="46"/>
      <c r="F1296" s="46"/>
      <c r="G1296" s="46"/>
      <c r="H1296" s="46"/>
      <c r="I1296" s="46"/>
      <c r="J1296" s="46"/>
      <c r="K1296" s="46"/>
    </row>
    <row r="1297" spans="1:11">
      <c r="A1297" s="45"/>
      <c r="B1297" s="45"/>
      <c r="C1297" s="45"/>
      <c r="D1297" s="46"/>
      <c r="E1297" s="46"/>
      <c r="F1297" s="46"/>
      <c r="G1297" s="46"/>
      <c r="H1297" s="46"/>
      <c r="I1297" s="46"/>
      <c r="J1297" s="46"/>
      <c r="K1297" s="46"/>
    </row>
    <row r="1298" spans="1:11">
      <c r="A1298" s="45"/>
      <c r="B1298" s="45"/>
      <c r="C1298" s="45"/>
      <c r="D1298" s="46"/>
      <c r="E1298" s="46"/>
      <c r="F1298" s="46"/>
      <c r="G1298" s="46"/>
      <c r="H1298" s="46"/>
      <c r="I1298" s="46"/>
      <c r="J1298" s="46"/>
      <c r="K1298" s="46"/>
    </row>
    <row r="1299" spans="1:11">
      <c r="A1299" s="45"/>
      <c r="B1299" s="45"/>
      <c r="C1299" s="45"/>
      <c r="D1299" s="46"/>
      <c r="E1299" s="46"/>
      <c r="F1299" s="46"/>
      <c r="G1299" s="46"/>
      <c r="H1299" s="46"/>
      <c r="I1299" s="46"/>
      <c r="J1299" s="46"/>
      <c r="K1299" s="46"/>
    </row>
    <row r="1300" spans="1:11">
      <c r="A1300" s="45"/>
      <c r="B1300" s="45"/>
      <c r="C1300" s="45"/>
      <c r="D1300" s="46"/>
      <c r="E1300" s="46"/>
      <c r="F1300" s="46"/>
      <c r="G1300" s="46"/>
      <c r="H1300" s="46"/>
      <c r="I1300" s="46"/>
      <c r="J1300" s="46"/>
      <c r="K1300" s="46"/>
    </row>
    <row r="1301" spans="1:11">
      <c r="A1301" s="45"/>
      <c r="B1301" s="45"/>
      <c r="C1301" s="45"/>
      <c r="D1301" s="46"/>
      <c r="E1301" s="46"/>
      <c r="F1301" s="46"/>
      <c r="G1301" s="46"/>
      <c r="H1301" s="46"/>
      <c r="I1301" s="46"/>
      <c r="J1301" s="46"/>
      <c r="K1301" s="46"/>
    </row>
    <row r="1302" spans="1:11">
      <c r="A1302" s="45"/>
      <c r="B1302" s="45"/>
      <c r="C1302" s="45"/>
      <c r="D1302" s="46"/>
      <c r="E1302" s="46"/>
      <c r="F1302" s="46"/>
      <c r="G1302" s="46"/>
      <c r="H1302" s="46"/>
      <c r="I1302" s="46"/>
      <c r="J1302" s="46"/>
      <c r="K1302" s="46"/>
    </row>
    <row r="1303" spans="1:11">
      <c r="A1303" s="45"/>
      <c r="B1303" s="45"/>
      <c r="C1303" s="45"/>
      <c r="D1303" s="46"/>
      <c r="E1303" s="46"/>
      <c r="F1303" s="46"/>
      <c r="G1303" s="46"/>
      <c r="H1303" s="46"/>
      <c r="I1303" s="46"/>
      <c r="J1303" s="46"/>
      <c r="K1303" s="46"/>
    </row>
    <row r="1304" spans="1:11">
      <c r="A1304" s="45"/>
      <c r="B1304" s="45"/>
      <c r="C1304" s="45"/>
      <c r="D1304" s="46"/>
      <c r="E1304" s="46"/>
      <c r="F1304" s="46"/>
      <c r="G1304" s="46"/>
      <c r="H1304" s="46"/>
      <c r="I1304" s="46"/>
      <c r="J1304" s="46"/>
      <c r="K1304" s="46"/>
    </row>
    <row r="1305" spans="1:11">
      <c r="A1305" s="45"/>
      <c r="B1305" s="45"/>
      <c r="C1305" s="45"/>
      <c r="D1305" s="46"/>
      <c r="E1305" s="46"/>
      <c r="F1305" s="46"/>
      <c r="G1305" s="46"/>
      <c r="H1305" s="46"/>
      <c r="I1305" s="46"/>
      <c r="J1305" s="46"/>
      <c r="K1305" s="46"/>
    </row>
    <row r="1306" spans="1:11">
      <c r="A1306" s="45"/>
      <c r="B1306" s="45"/>
      <c r="C1306" s="45"/>
      <c r="D1306" s="46"/>
      <c r="E1306" s="46"/>
      <c r="F1306" s="46"/>
      <c r="G1306" s="46"/>
      <c r="H1306" s="46"/>
      <c r="I1306" s="46"/>
      <c r="J1306" s="46"/>
      <c r="K1306" s="46"/>
    </row>
    <row r="1307" spans="1:11">
      <c r="A1307" s="45"/>
      <c r="B1307" s="45"/>
      <c r="C1307" s="45"/>
      <c r="D1307" s="46"/>
      <c r="E1307" s="46"/>
      <c r="F1307" s="46"/>
      <c r="G1307" s="46"/>
      <c r="H1307" s="46"/>
      <c r="I1307" s="46"/>
      <c r="J1307" s="46"/>
      <c r="K1307" s="46"/>
    </row>
    <row r="1308" spans="1:11">
      <c r="A1308" s="45"/>
      <c r="B1308" s="45"/>
      <c r="C1308" s="45"/>
      <c r="D1308" s="46"/>
      <c r="E1308" s="46"/>
      <c r="F1308" s="46"/>
      <c r="G1308" s="46"/>
      <c r="H1308" s="46"/>
      <c r="I1308" s="46"/>
      <c r="J1308" s="46"/>
      <c r="K1308" s="46"/>
    </row>
    <row r="1309" spans="1:11">
      <c r="A1309" s="45"/>
      <c r="B1309" s="45"/>
      <c r="C1309" s="45"/>
      <c r="D1309" s="46"/>
      <c r="E1309" s="46"/>
      <c r="F1309" s="46"/>
      <c r="G1309" s="46"/>
      <c r="H1309" s="46"/>
      <c r="I1309" s="46"/>
      <c r="J1309" s="46"/>
      <c r="K1309" s="46"/>
    </row>
    <row r="1310" spans="1:11">
      <c r="A1310" s="45"/>
      <c r="B1310" s="45"/>
      <c r="C1310" s="45"/>
      <c r="D1310" s="46"/>
      <c r="E1310" s="46"/>
      <c r="F1310" s="46"/>
      <c r="G1310" s="46"/>
      <c r="H1310" s="46"/>
      <c r="I1310" s="46"/>
      <c r="J1310" s="46"/>
      <c r="K1310" s="46"/>
    </row>
    <row r="1311" spans="1:11">
      <c r="A1311" s="45"/>
      <c r="B1311" s="45"/>
      <c r="C1311" s="45"/>
      <c r="D1311" s="46"/>
      <c r="E1311" s="46"/>
      <c r="F1311" s="46"/>
      <c r="G1311" s="46"/>
      <c r="H1311" s="46"/>
      <c r="I1311" s="46"/>
      <c r="J1311" s="46"/>
      <c r="K1311" s="46"/>
    </row>
    <row r="1312" spans="1:11">
      <c r="A1312" s="45"/>
      <c r="B1312" s="45"/>
      <c r="C1312" s="45"/>
      <c r="D1312" s="46"/>
      <c r="E1312" s="46"/>
      <c r="F1312" s="46"/>
      <c r="G1312" s="46"/>
      <c r="H1312" s="46"/>
      <c r="I1312" s="46"/>
      <c r="J1312" s="46"/>
      <c r="K1312" s="46"/>
    </row>
    <row r="1313" spans="1:11">
      <c r="A1313" s="45"/>
      <c r="B1313" s="45"/>
      <c r="C1313" s="45"/>
      <c r="D1313" s="46"/>
      <c r="E1313" s="46"/>
      <c r="F1313" s="46"/>
      <c r="G1313" s="46"/>
      <c r="H1313" s="46"/>
      <c r="I1313" s="46"/>
      <c r="J1313" s="46"/>
      <c r="K1313" s="46"/>
    </row>
    <row r="1314" spans="1:11">
      <c r="A1314" s="45"/>
      <c r="B1314" s="45"/>
      <c r="C1314" s="45"/>
      <c r="D1314" s="46"/>
      <c r="E1314" s="46"/>
      <c r="F1314" s="46"/>
      <c r="G1314" s="46"/>
      <c r="H1314" s="46"/>
      <c r="I1314" s="46"/>
      <c r="J1314" s="46"/>
      <c r="K1314" s="46"/>
    </row>
    <row r="1315" spans="1:11">
      <c r="A1315" s="45"/>
      <c r="B1315" s="45"/>
      <c r="C1315" s="45"/>
      <c r="D1315" s="46"/>
      <c r="E1315" s="46"/>
      <c r="F1315" s="46"/>
      <c r="G1315" s="46"/>
      <c r="H1315" s="46"/>
      <c r="I1315" s="46"/>
      <c r="J1315" s="46"/>
      <c r="K1315" s="46"/>
    </row>
    <row r="1316" spans="1:11">
      <c r="A1316" s="45"/>
      <c r="B1316" s="45"/>
      <c r="C1316" s="45"/>
      <c r="D1316" s="46"/>
      <c r="E1316" s="46"/>
      <c r="F1316" s="46"/>
      <c r="G1316" s="46"/>
      <c r="H1316" s="46"/>
      <c r="I1316" s="46"/>
      <c r="J1316" s="46"/>
      <c r="K1316" s="46"/>
    </row>
    <row r="1317" spans="1:11">
      <c r="A1317" s="45"/>
      <c r="B1317" s="45"/>
      <c r="C1317" s="45"/>
      <c r="D1317" s="46"/>
      <c r="E1317" s="46"/>
      <c r="F1317" s="46"/>
      <c r="G1317" s="46"/>
      <c r="H1317" s="46"/>
      <c r="I1317" s="46"/>
      <c r="J1317" s="46"/>
      <c r="K1317" s="46"/>
    </row>
    <row r="1318" spans="1:11">
      <c r="A1318" s="45"/>
      <c r="B1318" s="45"/>
      <c r="C1318" s="45"/>
      <c r="D1318" s="46"/>
      <c r="E1318" s="46"/>
      <c r="F1318" s="46"/>
      <c r="G1318" s="46"/>
      <c r="H1318" s="46"/>
      <c r="I1318" s="46"/>
      <c r="J1318" s="46"/>
      <c r="K1318" s="46"/>
    </row>
    <row r="1319" spans="1:11">
      <c r="A1319" s="45"/>
      <c r="B1319" s="45"/>
      <c r="C1319" s="45"/>
      <c r="D1319" s="46"/>
      <c r="E1319" s="46"/>
      <c r="F1319" s="46"/>
      <c r="G1319" s="46"/>
      <c r="H1319" s="46"/>
      <c r="I1319" s="46"/>
      <c r="J1319" s="46"/>
      <c r="K1319" s="46"/>
    </row>
    <row r="1320" spans="1:11">
      <c r="A1320" s="45"/>
      <c r="B1320" s="45"/>
      <c r="C1320" s="45"/>
      <c r="D1320" s="46"/>
      <c r="E1320" s="46"/>
      <c r="F1320" s="46"/>
      <c r="G1320" s="46"/>
      <c r="H1320" s="46"/>
      <c r="I1320" s="46"/>
      <c r="J1320" s="46"/>
      <c r="K1320" s="46"/>
    </row>
    <row r="1321" spans="1:11">
      <c r="A1321" s="45"/>
      <c r="B1321" s="45"/>
      <c r="C1321" s="45"/>
      <c r="D1321" s="46"/>
      <c r="E1321" s="46"/>
      <c r="F1321" s="46"/>
      <c r="G1321" s="46"/>
      <c r="H1321" s="46"/>
      <c r="I1321" s="46"/>
      <c r="J1321" s="46"/>
      <c r="K1321" s="46"/>
    </row>
    <row r="1322" spans="1:11">
      <c r="A1322" s="45"/>
      <c r="B1322" s="45"/>
      <c r="C1322" s="45"/>
      <c r="D1322" s="46"/>
      <c r="E1322" s="46"/>
      <c r="F1322" s="46"/>
      <c r="G1322" s="46"/>
      <c r="H1322" s="46"/>
      <c r="I1322" s="46"/>
      <c r="J1322" s="46"/>
      <c r="K1322" s="46"/>
    </row>
    <row r="1323" spans="1:11">
      <c r="A1323" s="45"/>
      <c r="B1323" s="45"/>
      <c r="C1323" s="45"/>
      <c r="D1323" s="46"/>
      <c r="E1323" s="46"/>
      <c r="F1323" s="46"/>
      <c r="G1323" s="46"/>
      <c r="H1323" s="46"/>
      <c r="I1323" s="46"/>
      <c r="J1323" s="46"/>
      <c r="K1323" s="46"/>
    </row>
    <row r="1324" spans="1:11">
      <c r="A1324" s="45"/>
      <c r="B1324" s="45"/>
      <c r="C1324" s="45"/>
      <c r="D1324" s="46"/>
      <c r="E1324" s="46"/>
      <c r="F1324" s="46"/>
      <c r="G1324" s="46"/>
      <c r="H1324" s="46"/>
      <c r="I1324" s="46"/>
      <c r="J1324" s="46"/>
      <c r="K1324" s="46"/>
    </row>
    <row r="1325" spans="1:11">
      <c r="A1325" s="45"/>
      <c r="B1325" s="45"/>
      <c r="C1325" s="45"/>
      <c r="D1325" s="46"/>
      <c r="E1325" s="46"/>
      <c r="F1325" s="46"/>
      <c r="G1325" s="46"/>
      <c r="H1325" s="46"/>
      <c r="I1325" s="46"/>
      <c r="J1325" s="46"/>
      <c r="K1325" s="46"/>
    </row>
    <row r="1326" spans="1:11">
      <c r="A1326" s="45"/>
      <c r="B1326" s="45"/>
      <c r="C1326" s="45"/>
      <c r="D1326" s="46"/>
      <c r="E1326" s="46"/>
      <c r="F1326" s="46"/>
      <c r="G1326" s="46"/>
      <c r="H1326" s="46"/>
      <c r="I1326" s="46"/>
      <c r="J1326" s="46"/>
      <c r="K1326" s="46"/>
    </row>
    <row r="1327" spans="1:11">
      <c r="A1327" s="45"/>
      <c r="B1327" s="45"/>
      <c r="C1327" s="45"/>
      <c r="D1327" s="46"/>
      <c r="E1327" s="46"/>
      <c r="F1327" s="46"/>
      <c r="G1327" s="46"/>
      <c r="H1327" s="46"/>
      <c r="I1327" s="46"/>
      <c r="J1327" s="46"/>
      <c r="K1327" s="46"/>
    </row>
    <row r="1328" spans="1:11">
      <c r="A1328" s="45"/>
      <c r="B1328" s="45"/>
      <c r="C1328" s="45"/>
      <c r="D1328" s="46"/>
      <c r="E1328" s="46"/>
      <c r="F1328" s="46"/>
      <c r="G1328" s="46"/>
      <c r="H1328" s="46"/>
      <c r="I1328" s="46"/>
      <c r="J1328" s="46"/>
      <c r="K1328" s="46"/>
    </row>
    <row r="1329" spans="1:11">
      <c r="A1329" s="45"/>
      <c r="B1329" s="45"/>
      <c r="C1329" s="45"/>
      <c r="D1329" s="46"/>
      <c r="E1329" s="46"/>
      <c r="F1329" s="46"/>
      <c r="G1329" s="46"/>
      <c r="H1329" s="46"/>
      <c r="I1329" s="46"/>
      <c r="J1329" s="46"/>
      <c r="K1329" s="46"/>
    </row>
    <row r="1330" spans="1:11">
      <c r="A1330" s="45"/>
      <c r="B1330" s="45"/>
      <c r="C1330" s="45"/>
      <c r="D1330" s="46"/>
      <c r="E1330" s="46"/>
      <c r="F1330" s="46"/>
      <c r="G1330" s="46"/>
      <c r="H1330" s="46"/>
      <c r="I1330" s="46"/>
      <c r="J1330" s="46"/>
      <c r="K1330" s="46"/>
    </row>
    <row r="1331" spans="1:11">
      <c r="A1331" s="45"/>
      <c r="B1331" s="45"/>
      <c r="C1331" s="45"/>
      <c r="D1331" s="46"/>
      <c r="E1331" s="46"/>
      <c r="F1331" s="46"/>
      <c r="G1331" s="46"/>
      <c r="H1331" s="46"/>
      <c r="I1331" s="46"/>
      <c r="J1331" s="46"/>
      <c r="K1331" s="46"/>
    </row>
    <row r="1332" spans="1:11">
      <c r="A1332" s="45"/>
      <c r="B1332" s="45"/>
      <c r="C1332" s="45"/>
      <c r="D1332" s="46"/>
      <c r="E1332" s="46"/>
      <c r="F1332" s="46"/>
      <c r="G1332" s="46"/>
      <c r="H1332" s="46"/>
      <c r="I1332" s="46"/>
      <c r="J1332" s="46"/>
      <c r="K1332" s="46"/>
    </row>
    <row r="1333" spans="1:11">
      <c r="A1333" s="45"/>
      <c r="B1333" s="45"/>
      <c r="C1333" s="45"/>
      <c r="D1333" s="46"/>
      <c r="E1333" s="46"/>
      <c r="F1333" s="46"/>
      <c r="G1333" s="46"/>
      <c r="H1333" s="46"/>
      <c r="I1333" s="46"/>
      <c r="J1333" s="46"/>
      <c r="K1333" s="46"/>
    </row>
    <row r="1334" spans="1:11">
      <c r="A1334" s="45"/>
      <c r="B1334" s="45"/>
      <c r="C1334" s="45"/>
      <c r="D1334" s="46"/>
      <c r="E1334" s="46"/>
      <c r="F1334" s="46"/>
      <c r="G1334" s="46"/>
      <c r="H1334" s="46"/>
      <c r="I1334" s="46"/>
      <c r="J1334" s="46"/>
      <c r="K1334" s="46"/>
    </row>
    <row r="1335" spans="1:11">
      <c r="A1335" s="45"/>
      <c r="B1335" s="45"/>
      <c r="C1335" s="45"/>
      <c r="D1335" s="46"/>
      <c r="E1335" s="46"/>
      <c r="F1335" s="46"/>
      <c r="G1335" s="46"/>
      <c r="H1335" s="46"/>
      <c r="I1335" s="46"/>
      <c r="J1335" s="46"/>
      <c r="K1335" s="46"/>
    </row>
    <row r="1336" spans="1:11">
      <c r="A1336" s="45"/>
      <c r="B1336" s="45"/>
      <c r="C1336" s="45"/>
      <c r="D1336" s="46"/>
      <c r="E1336" s="46"/>
      <c r="F1336" s="46"/>
      <c r="G1336" s="46"/>
      <c r="H1336" s="46"/>
      <c r="I1336" s="46"/>
      <c r="J1336" s="46"/>
      <c r="K1336" s="46"/>
    </row>
    <row r="1337" spans="1:11">
      <c r="A1337" s="45"/>
      <c r="B1337" s="45"/>
      <c r="C1337" s="45"/>
      <c r="D1337" s="46"/>
      <c r="E1337" s="46"/>
      <c r="F1337" s="46"/>
      <c r="G1337" s="46"/>
      <c r="H1337" s="46"/>
      <c r="I1337" s="46"/>
      <c r="J1337" s="46"/>
      <c r="K1337" s="46"/>
    </row>
    <row r="1338" spans="1:11">
      <c r="A1338" s="45"/>
      <c r="B1338" s="45"/>
      <c r="C1338" s="45"/>
      <c r="D1338" s="46"/>
      <c r="E1338" s="46"/>
      <c r="F1338" s="46"/>
      <c r="G1338" s="46"/>
      <c r="H1338" s="46"/>
      <c r="I1338" s="46"/>
      <c r="J1338" s="46"/>
      <c r="K1338" s="46"/>
    </row>
    <row r="1339" spans="1:11">
      <c r="A1339" s="45"/>
      <c r="B1339" s="45"/>
      <c r="C1339" s="45"/>
      <c r="D1339" s="46"/>
      <c r="E1339" s="46"/>
      <c r="F1339" s="46"/>
      <c r="G1339" s="46"/>
      <c r="H1339" s="46"/>
      <c r="I1339" s="46"/>
      <c r="J1339" s="46"/>
      <c r="K1339" s="46"/>
    </row>
    <row r="1340" spans="1:11">
      <c r="A1340" s="45"/>
      <c r="B1340" s="45"/>
      <c r="C1340" s="45"/>
      <c r="D1340" s="46"/>
      <c r="E1340" s="46"/>
      <c r="F1340" s="46"/>
      <c r="G1340" s="46"/>
      <c r="H1340" s="46"/>
      <c r="I1340" s="46"/>
      <c r="J1340" s="46"/>
      <c r="K1340" s="46"/>
    </row>
    <row r="1341" spans="1:11">
      <c r="A1341" s="45"/>
      <c r="B1341" s="45"/>
      <c r="C1341" s="45"/>
      <c r="D1341" s="46"/>
      <c r="E1341" s="46"/>
      <c r="F1341" s="46"/>
      <c r="G1341" s="46"/>
      <c r="H1341" s="46"/>
      <c r="I1341" s="46"/>
      <c r="J1341" s="46"/>
      <c r="K1341" s="46"/>
    </row>
    <row r="1342" spans="1:11">
      <c r="A1342" s="45"/>
      <c r="B1342" s="45"/>
      <c r="C1342" s="45"/>
      <c r="D1342" s="46"/>
      <c r="E1342" s="46"/>
      <c r="F1342" s="46"/>
      <c r="G1342" s="46"/>
      <c r="H1342" s="46"/>
      <c r="I1342" s="46"/>
      <c r="J1342" s="46"/>
      <c r="K1342" s="46"/>
    </row>
    <row r="1343" spans="1:11">
      <c r="A1343" s="45"/>
      <c r="B1343" s="45"/>
      <c r="C1343" s="45"/>
      <c r="D1343" s="46"/>
      <c r="E1343" s="46"/>
      <c r="F1343" s="46"/>
      <c r="G1343" s="46"/>
      <c r="H1343" s="46"/>
      <c r="I1343" s="46"/>
      <c r="J1343" s="46"/>
      <c r="K1343" s="46"/>
    </row>
    <row r="1344" spans="1:11">
      <c r="A1344" s="45"/>
      <c r="B1344" s="45"/>
      <c r="C1344" s="45"/>
      <c r="D1344" s="46"/>
      <c r="E1344" s="46"/>
      <c r="F1344" s="46"/>
      <c r="G1344" s="46"/>
      <c r="H1344" s="46"/>
      <c r="I1344" s="46"/>
      <c r="J1344" s="46"/>
      <c r="K1344" s="46"/>
    </row>
    <row r="1345" spans="1:11">
      <c r="A1345" s="45"/>
      <c r="B1345" s="45"/>
      <c r="C1345" s="45"/>
      <c r="D1345" s="46"/>
      <c r="E1345" s="46"/>
      <c r="F1345" s="46"/>
      <c r="G1345" s="46"/>
      <c r="H1345" s="46"/>
      <c r="I1345" s="46"/>
      <c r="J1345" s="46"/>
      <c r="K1345" s="46"/>
    </row>
    <row r="1346" spans="1:11">
      <c r="A1346" s="45"/>
      <c r="B1346" s="45"/>
      <c r="C1346" s="45"/>
      <c r="D1346" s="46"/>
      <c r="E1346" s="46"/>
      <c r="F1346" s="46"/>
      <c r="G1346" s="46"/>
      <c r="H1346" s="46"/>
      <c r="I1346" s="46"/>
      <c r="J1346" s="46"/>
      <c r="K1346" s="46"/>
    </row>
    <row r="1347" spans="1:11">
      <c r="A1347" s="45"/>
      <c r="B1347" s="45"/>
      <c r="C1347" s="45"/>
      <c r="D1347" s="46"/>
      <c r="E1347" s="46"/>
      <c r="F1347" s="46"/>
      <c r="G1347" s="46"/>
      <c r="H1347" s="46"/>
      <c r="I1347" s="46"/>
      <c r="J1347" s="46"/>
      <c r="K1347" s="46"/>
    </row>
    <row r="1348" spans="1:11">
      <c r="A1348" s="45"/>
      <c r="B1348" s="45"/>
      <c r="C1348" s="45"/>
      <c r="D1348" s="46"/>
      <c r="E1348" s="46"/>
      <c r="F1348" s="46"/>
      <c r="G1348" s="46"/>
      <c r="H1348" s="46"/>
      <c r="I1348" s="46"/>
      <c r="J1348" s="46"/>
      <c r="K1348" s="46"/>
    </row>
    <row r="1349" spans="1:11">
      <c r="A1349" s="45"/>
      <c r="B1349" s="45"/>
      <c r="C1349" s="45"/>
      <c r="D1349" s="46"/>
      <c r="E1349" s="46"/>
      <c r="F1349" s="46"/>
      <c r="G1349" s="46"/>
      <c r="H1349" s="46"/>
      <c r="I1349" s="46"/>
      <c r="J1349" s="46"/>
      <c r="K1349" s="46"/>
    </row>
    <row r="1350" spans="1:11">
      <c r="A1350" s="45"/>
      <c r="B1350" s="45"/>
      <c r="C1350" s="45"/>
      <c r="D1350" s="46"/>
      <c r="E1350" s="46"/>
      <c r="F1350" s="46"/>
      <c r="G1350" s="46"/>
      <c r="H1350" s="46"/>
      <c r="I1350" s="46"/>
      <c r="J1350" s="46"/>
      <c r="K1350" s="46"/>
    </row>
    <row r="1351" spans="1:11">
      <c r="A1351" s="45"/>
      <c r="B1351" s="45"/>
      <c r="C1351" s="45"/>
      <c r="D1351" s="46"/>
      <c r="E1351" s="46"/>
      <c r="F1351" s="46"/>
      <c r="G1351" s="46"/>
      <c r="H1351" s="46"/>
      <c r="I1351" s="46"/>
      <c r="J1351" s="46"/>
      <c r="K1351" s="46"/>
    </row>
    <row r="1352" spans="1:11">
      <c r="A1352" s="45"/>
      <c r="B1352" s="45"/>
      <c r="C1352" s="45"/>
      <c r="D1352" s="46"/>
      <c r="E1352" s="46"/>
      <c r="F1352" s="46"/>
      <c r="G1352" s="46"/>
      <c r="H1352" s="46"/>
      <c r="I1352" s="46"/>
      <c r="J1352" s="46"/>
      <c r="K1352" s="46"/>
    </row>
    <row r="1353" spans="1:11">
      <c r="A1353" s="45"/>
      <c r="B1353" s="45"/>
      <c r="C1353" s="45"/>
      <c r="D1353" s="46"/>
      <c r="E1353" s="46"/>
      <c r="F1353" s="46"/>
      <c r="G1353" s="46"/>
      <c r="H1353" s="46"/>
      <c r="I1353" s="46"/>
      <c r="J1353" s="46"/>
      <c r="K1353" s="46"/>
    </row>
    <row r="1354" spans="1:11">
      <c r="A1354" s="45"/>
      <c r="B1354" s="45"/>
      <c r="C1354" s="45"/>
      <c r="D1354" s="46"/>
      <c r="E1354" s="46"/>
      <c r="F1354" s="46"/>
      <c r="G1354" s="46"/>
      <c r="H1354" s="46"/>
      <c r="I1354" s="46"/>
      <c r="J1354" s="46"/>
      <c r="K1354" s="46"/>
    </row>
    <row r="1355" spans="1:11">
      <c r="A1355" s="45"/>
      <c r="B1355" s="45"/>
      <c r="C1355" s="45"/>
      <c r="D1355" s="46"/>
      <c r="E1355" s="46"/>
      <c r="F1355" s="46"/>
      <c r="G1355" s="46"/>
      <c r="H1355" s="46"/>
      <c r="I1355" s="46"/>
      <c r="J1355" s="46"/>
      <c r="K1355" s="46"/>
    </row>
    <row r="1356" spans="1:11">
      <c r="A1356" s="45"/>
      <c r="B1356" s="45"/>
      <c r="C1356" s="45"/>
      <c r="D1356" s="46"/>
      <c r="E1356" s="46"/>
      <c r="F1356" s="46"/>
      <c r="G1356" s="46"/>
      <c r="H1356" s="46"/>
      <c r="I1356" s="46"/>
      <c r="J1356" s="46"/>
      <c r="K1356" s="46"/>
    </row>
    <row r="1357" spans="1:11">
      <c r="A1357" s="45"/>
      <c r="B1357" s="45"/>
      <c r="C1357" s="45"/>
      <c r="D1357" s="46"/>
      <c r="E1357" s="46"/>
      <c r="F1357" s="46"/>
      <c r="G1357" s="46"/>
      <c r="H1357" s="46"/>
      <c r="I1357" s="46"/>
      <c r="J1357" s="46"/>
      <c r="K1357" s="46"/>
    </row>
    <row r="1358" spans="1:11">
      <c r="A1358" s="45"/>
      <c r="B1358" s="45"/>
      <c r="C1358" s="45"/>
      <c r="D1358" s="46"/>
      <c r="E1358" s="46"/>
      <c r="F1358" s="46"/>
      <c r="G1358" s="46"/>
      <c r="H1358" s="46"/>
      <c r="I1358" s="46"/>
      <c r="J1358" s="46"/>
      <c r="K1358" s="46"/>
    </row>
    <row r="1359" spans="1:11">
      <c r="A1359" s="45"/>
      <c r="B1359" s="45"/>
      <c r="C1359" s="45"/>
      <c r="D1359" s="46"/>
      <c r="E1359" s="46"/>
      <c r="F1359" s="46"/>
      <c r="G1359" s="46"/>
      <c r="H1359" s="46"/>
      <c r="I1359" s="46"/>
      <c r="J1359" s="46"/>
      <c r="K1359" s="46"/>
    </row>
    <row r="1360" spans="1:11">
      <c r="A1360" s="45"/>
      <c r="B1360" s="45"/>
      <c r="C1360" s="45"/>
      <c r="D1360" s="46"/>
      <c r="E1360" s="46"/>
      <c r="F1360" s="46"/>
      <c r="G1360" s="46"/>
      <c r="H1360" s="46"/>
      <c r="I1360" s="46"/>
      <c r="J1360" s="46"/>
      <c r="K1360" s="46"/>
    </row>
    <row r="1361" spans="1:11">
      <c r="A1361" s="45"/>
      <c r="B1361" s="45"/>
      <c r="C1361" s="45"/>
      <c r="D1361" s="46"/>
      <c r="E1361" s="46"/>
      <c r="F1361" s="46"/>
      <c r="G1361" s="46"/>
      <c r="H1361" s="46"/>
      <c r="I1361" s="46"/>
      <c r="J1361" s="46"/>
      <c r="K1361" s="46"/>
    </row>
    <row r="1362" spans="1:11">
      <c r="A1362" s="45"/>
      <c r="B1362" s="45"/>
      <c r="C1362" s="45"/>
      <c r="D1362" s="46"/>
      <c r="E1362" s="46"/>
      <c r="F1362" s="46"/>
      <c r="G1362" s="46"/>
      <c r="H1362" s="46"/>
      <c r="I1362" s="46"/>
      <c r="J1362" s="46"/>
      <c r="K1362" s="46"/>
    </row>
    <row r="1363" spans="1:11">
      <c r="A1363" s="45"/>
      <c r="B1363" s="45"/>
      <c r="C1363" s="45"/>
      <c r="D1363" s="46"/>
      <c r="E1363" s="46"/>
      <c r="F1363" s="46"/>
      <c r="G1363" s="46"/>
      <c r="H1363" s="46"/>
      <c r="I1363" s="46"/>
      <c r="J1363" s="46"/>
      <c r="K1363" s="46"/>
    </row>
    <row r="1364" spans="1:11">
      <c r="A1364" s="45"/>
      <c r="B1364" s="45"/>
      <c r="C1364" s="45"/>
      <c r="D1364" s="46"/>
      <c r="E1364" s="46"/>
      <c r="F1364" s="46"/>
      <c r="G1364" s="46"/>
      <c r="H1364" s="46"/>
      <c r="I1364" s="46"/>
      <c r="J1364" s="46"/>
      <c r="K1364" s="46"/>
    </row>
    <row r="1365" spans="1:11">
      <c r="A1365" s="45"/>
      <c r="B1365" s="45"/>
      <c r="C1365" s="45"/>
      <c r="D1365" s="46"/>
      <c r="E1365" s="46"/>
      <c r="F1365" s="46"/>
      <c r="G1365" s="46"/>
      <c r="H1365" s="46"/>
      <c r="I1365" s="46"/>
      <c r="J1365" s="46"/>
      <c r="K1365" s="46"/>
    </row>
    <row r="1366" spans="1:11">
      <c r="A1366" s="45"/>
      <c r="B1366" s="45"/>
      <c r="C1366" s="45"/>
      <c r="D1366" s="46"/>
      <c r="E1366" s="46"/>
      <c r="F1366" s="46"/>
      <c r="G1366" s="46"/>
      <c r="H1366" s="46"/>
      <c r="I1366" s="46"/>
      <c r="J1366" s="46"/>
      <c r="K1366" s="46"/>
    </row>
    <row r="1367" spans="1:11">
      <c r="A1367" s="45"/>
      <c r="B1367" s="45"/>
      <c r="C1367" s="45"/>
      <c r="D1367" s="46"/>
      <c r="E1367" s="46"/>
      <c r="F1367" s="46"/>
      <c r="G1367" s="46"/>
      <c r="H1367" s="46"/>
      <c r="I1367" s="46"/>
      <c r="J1367" s="46"/>
      <c r="K1367" s="46"/>
    </row>
    <row r="1368" spans="1:11">
      <c r="A1368" s="45"/>
      <c r="B1368" s="45"/>
      <c r="C1368" s="45"/>
      <c r="D1368" s="46"/>
      <c r="E1368" s="46"/>
      <c r="F1368" s="46"/>
      <c r="G1368" s="46"/>
      <c r="H1368" s="46"/>
      <c r="I1368" s="46"/>
      <c r="J1368" s="46"/>
      <c r="K1368" s="46"/>
    </row>
    <row r="1369" spans="1:11">
      <c r="A1369" s="45"/>
      <c r="B1369" s="45"/>
      <c r="C1369" s="45"/>
      <c r="D1369" s="46"/>
      <c r="E1369" s="46"/>
      <c r="F1369" s="46"/>
      <c r="G1369" s="46"/>
      <c r="H1369" s="46"/>
      <c r="I1369" s="46"/>
      <c r="J1369" s="46"/>
      <c r="K1369" s="46"/>
    </row>
    <row r="1370" spans="1:11">
      <c r="A1370" s="45"/>
      <c r="B1370" s="45"/>
      <c r="C1370" s="45"/>
      <c r="D1370" s="46"/>
      <c r="E1370" s="46"/>
      <c r="F1370" s="46"/>
      <c r="G1370" s="46"/>
      <c r="H1370" s="46"/>
      <c r="I1370" s="46"/>
      <c r="J1370" s="46"/>
      <c r="K1370" s="46"/>
    </row>
    <row r="1371" spans="1:11">
      <c r="A1371" s="45"/>
      <c r="B1371" s="45"/>
      <c r="C1371" s="45"/>
      <c r="D1371" s="46"/>
      <c r="E1371" s="46"/>
      <c r="F1371" s="46"/>
      <c r="G1371" s="46"/>
      <c r="H1371" s="46"/>
      <c r="I1371" s="46"/>
      <c r="J1371" s="46"/>
      <c r="K1371" s="46"/>
    </row>
    <row r="1372" spans="1:11">
      <c r="A1372" s="45"/>
      <c r="B1372" s="45"/>
      <c r="C1372" s="45"/>
      <c r="D1372" s="46"/>
      <c r="E1372" s="46"/>
      <c r="F1372" s="46"/>
      <c r="G1372" s="46"/>
      <c r="H1372" s="46"/>
      <c r="I1372" s="46"/>
      <c r="J1372" s="46"/>
      <c r="K1372" s="46"/>
    </row>
    <row r="1373" spans="1:11">
      <c r="A1373" s="45"/>
      <c r="B1373" s="45"/>
      <c r="C1373" s="45"/>
      <c r="D1373" s="46"/>
      <c r="E1373" s="46"/>
      <c r="F1373" s="46"/>
      <c r="G1373" s="46"/>
      <c r="H1373" s="46"/>
      <c r="I1373" s="46"/>
      <c r="J1373" s="46"/>
      <c r="K1373" s="46"/>
    </row>
    <row r="1374" spans="1:11">
      <c r="A1374" s="45"/>
      <c r="B1374" s="45"/>
      <c r="C1374" s="45"/>
      <c r="D1374" s="46"/>
      <c r="E1374" s="46"/>
      <c r="F1374" s="46"/>
      <c r="G1374" s="46"/>
      <c r="H1374" s="46"/>
      <c r="I1374" s="46"/>
      <c r="J1374" s="46"/>
      <c r="K1374" s="46"/>
    </row>
    <row r="1375" spans="1:11">
      <c r="A1375" s="45"/>
      <c r="B1375" s="45"/>
      <c r="C1375" s="45"/>
      <c r="D1375" s="46"/>
      <c r="E1375" s="46"/>
      <c r="F1375" s="46"/>
      <c r="G1375" s="46"/>
      <c r="H1375" s="46"/>
      <c r="I1375" s="46"/>
      <c r="J1375" s="46"/>
      <c r="K1375" s="46"/>
    </row>
    <row r="1376" spans="1:11">
      <c r="A1376" s="45"/>
      <c r="B1376" s="45"/>
      <c r="C1376" s="45"/>
      <c r="D1376" s="46"/>
      <c r="E1376" s="46"/>
      <c r="F1376" s="46"/>
      <c r="G1376" s="46"/>
      <c r="H1376" s="46"/>
      <c r="I1376" s="46"/>
      <c r="J1376" s="46"/>
      <c r="K1376" s="46"/>
    </row>
    <row r="1377" spans="1:11">
      <c r="A1377" s="45"/>
      <c r="B1377" s="45"/>
      <c r="C1377" s="45"/>
      <c r="D1377" s="46"/>
      <c r="E1377" s="46"/>
      <c r="F1377" s="46"/>
      <c r="G1377" s="46"/>
      <c r="H1377" s="46"/>
      <c r="I1377" s="46"/>
      <c r="J1377" s="46"/>
      <c r="K1377" s="46"/>
    </row>
    <row r="1378" spans="1:11">
      <c r="A1378" s="45"/>
      <c r="B1378" s="45"/>
      <c r="C1378" s="45"/>
      <c r="D1378" s="46"/>
      <c r="E1378" s="46"/>
      <c r="F1378" s="46"/>
      <c r="G1378" s="46"/>
      <c r="H1378" s="46"/>
      <c r="I1378" s="46"/>
      <c r="J1378" s="46"/>
      <c r="K1378" s="46"/>
    </row>
    <row r="1379" spans="1:11">
      <c r="A1379" s="45"/>
      <c r="B1379" s="45"/>
      <c r="C1379" s="45"/>
      <c r="D1379" s="46"/>
      <c r="E1379" s="46"/>
      <c r="F1379" s="46"/>
      <c r="G1379" s="46"/>
      <c r="H1379" s="46"/>
      <c r="I1379" s="46"/>
      <c r="J1379" s="46"/>
      <c r="K1379" s="46"/>
    </row>
    <row r="1380" spans="1:11">
      <c r="A1380" s="45"/>
      <c r="B1380" s="45"/>
      <c r="C1380" s="45"/>
      <c r="D1380" s="46"/>
      <c r="E1380" s="46"/>
      <c r="F1380" s="46"/>
      <c r="G1380" s="46"/>
      <c r="H1380" s="46"/>
      <c r="I1380" s="46"/>
      <c r="J1380" s="46"/>
      <c r="K1380" s="46"/>
    </row>
    <row r="1381" spans="1:11">
      <c r="A1381" s="45"/>
      <c r="B1381" s="45"/>
      <c r="C1381" s="45"/>
      <c r="D1381" s="46"/>
      <c r="E1381" s="46"/>
      <c r="F1381" s="46"/>
      <c r="G1381" s="46"/>
      <c r="H1381" s="46"/>
      <c r="I1381" s="46"/>
      <c r="J1381" s="46"/>
      <c r="K1381" s="46"/>
    </row>
    <row r="1382" spans="1:11">
      <c r="A1382" s="45"/>
      <c r="B1382" s="45"/>
      <c r="C1382" s="45"/>
      <c r="D1382" s="46"/>
      <c r="E1382" s="46"/>
      <c r="F1382" s="46"/>
      <c r="G1382" s="46"/>
      <c r="H1382" s="46"/>
      <c r="I1382" s="46"/>
      <c r="J1382" s="46"/>
      <c r="K1382" s="46"/>
    </row>
    <row r="1383" spans="1:11">
      <c r="A1383" s="45"/>
      <c r="B1383" s="45"/>
      <c r="C1383" s="45"/>
      <c r="D1383" s="46"/>
      <c r="E1383" s="46"/>
      <c r="F1383" s="46"/>
      <c r="G1383" s="46"/>
      <c r="H1383" s="46"/>
      <c r="I1383" s="46"/>
      <c r="J1383" s="46"/>
      <c r="K1383" s="46"/>
    </row>
    <row r="1384" spans="1:11">
      <c r="A1384" s="45"/>
      <c r="B1384" s="45"/>
      <c r="C1384" s="45"/>
      <c r="D1384" s="46"/>
      <c r="E1384" s="46"/>
      <c r="F1384" s="46"/>
      <c r="G1384" s="46"/>
      <c r="H1384" s="46"/>
      <c r="I1384" s="46"/>
      <c r="J1384" s="46"/>
      <c r="K1384" s="46"/>
    </row>
    <row r="1385" spans="1:11">
      <c r="A1385" s="45"/>
      <c r="B1385" s="45"/>
      <c r="C1385" s="45"/>
      <c r="D1385" s="46"/>
      <c r="E1385" s="46"/>
      <c r="F1385" s="46"/>
      <c r="G1385" s="46"/>
      <c r="H1385" s="46"/>
      <c r="I1385" s="46"/>
      <c r="J1385" s="46"/>
      <c r="K1385" s="46"/>
    </row>
    <row r="1386" spans="1:11">
      <c r="A1386" s="45"/>
      <c r="B1386" s="45"/>
      <c r="C1386" s="45"/>
      <c r="D1386" s="46"/>
      <c r="E1386" s="46"/>
      <c r="F1386" s="46"/>
      <c r="G1386" s="46"/>
      <c r="H1386" s="46"/>
      <c r="I1386" s="46"/>
      <c r="J1386" s="46"/>
      <c r="K1386" s="46"/>
    </row>
    <row r="1387" spans="1:11">
      <c r="A1387" s="45"/>
      <c r="B1387" s="45"/>
      <c r="C1387" s="45"/>
      <c r="D1387" s="46"/>
      <c r="E1387" s="46"/>
      <c r="F1387" s="46"/>
      <c r="G1387" s="46"/>
      <c r="H1387" s="46"/>
      <c r="I1387" s="46"/>
      <c r="J1387" s="46"/>
      <c r="K1387" s="46"/>
    </row>
    <row r="1388" spans="1:11">
      <c r="A1388" s="45"/>
      <c r="B1388" s="45"/>
      <c r="C1388" s="45"/>
      <c r="D1388" s="46"/>
      <c r="E1388" s="46"/>
      <c r="F1388" s="46"/>
      <c r="G1388" s="46"/>
      <c r="H1388" s="46"/>
      <c r="I1388" s="46"/>
      <c r="J1388" s="46"/>
      <c r="K1388" s="46"/>
    </row>
    <row r="1389" spans="1:11">
      <c r="A1389" s="45"/>
      <c r="B1389" s="45"/>
      <c r="C1389" s="45"/>
      <c r="D1389" s="46"/>
      <c r="E1389" s="46"/>
      <c r="F1389" s="46"/>
      <c r="G1389" s="46"/>
      <c r="H1389" s="46"/>
      <c r="I1389" s="46"/>
      <c r="J1389" s="46"/>
      <c r="K1389" s="46"/>
    </row>
    <row r="1390" spans="1:11">
      <c r="A1390" s="45"/>
      <c r="B1390" s="45"/>
      <c r="C1390" s="45"/>
      <c r="D1390" s="46"/>
      <c r="E1390" s="46"/>
      <c r="F1390" s="46"/>
      <c r="G1390" s="46"/>
      <c r="H1390" s="46"/>
      <c r="I1390" s="46"/>
      <c r="J1390" s="46"/>
      <c r="K1390" s="46"/>
    </row>
    <row r="1391" spans="1:11">
      <c r="A1391" s="45"/>
      <c r="B1391" s="45"/>
      <c r="C1391" s="45"/>
      <c r="D1391" s="46"/>
      <c r="E1391" s="46"/>
      <c r="F1391" s="46"/>
      <c r="G1391" s="46"/>
      <c r="H1391" s="46"/>
      <c r="I1391" s="46"/>
      <c r="J1391" s="46"/>
      <c r="K1391" s="46"/>
    </row>
    <row r="1392" spans="1:11">
      <c r="A1392" s="45"/>
      <c r="B1392" s="45"/>
      <c r="C1392" s="45"/>
      <c r="D1392" s="46"/>
      <c r="E1392" s="46"/>
      <c r="F1392" s="46"/>
      <c r="G1392" s="46"/>
      <c r="H1392" s="46"/>
      <c r="I1392" s="46"/>
      <c r="J1392" s="46"/>
      <c r="K1392" s="46"/>
    </row>
    <row r="1393" spans="1:11">
      <c r="A1393" s="45"/>
      <c r="B1393" s="45"/>
      <c r="C1393" s="45"/>
      <c r="D1393" s="46"/>
      <c r="E1393" s="46"/>
      <c r="F1393" s="46"/>
      <c r="G1393" s="46"/>
      <c r="H1393" s="46"/>
      <c r="I1393" s="46"/>
      <c r="J1393" s="46"/>
      <c r="K1393" s="46"/>
    </row>
    <row r="1394" spans="1:11">
      <c r="A1394" s="45"/>
      <c r="B1394" s="45"/>
      <c r="C1394" s="45"/>
      <c r="D1394" s="46"/>
      <c r="E1394" s="46"/>
      <c r="F1394" s="46"/>
      <c r="G1394" s="46"/>
      <c r="H1394" s="46"/>
      <c r="I1394" s="46"/>
      <c r="J1394" s="46"/>
      <c r="K1394" s="46"/>
    </row>
    <row r="1395" spans="1:11">
      <c r="A1395" s="45"/>
      <c r="B1395" s="45"/>
      <c r="C1395" s="45"/>
      <c r="D1395" s="46"/>
      <c r="E1395" s="46"/>
      <c r="F1395" s="46"/>
      <c r="G1395" s="46"/>
      <c r="H1395" s="46"/>
      <c r="I1395" s="46"/>
      <c r="J1395" s="46"/>
      <c r="K1395" s="46"/>
    </row>
    <row r="1396" spans="1:11">
      <c r="A1396" s="45"/>
      <c r="B1396" s="45"/>
      <c r="C1396" s="45"/>
      <c r="D1396" s="46"/>
      <c r="E1396" s="46"/>
      <c r="F1396" s="46"/>
      <c r="G1396" s="46"/>
      <c r="H1396" s="46"/>
      <c r="I1396" s="46"/>
      <c r="J1396" s="46"/>
      <c r="K1396" s="46"/>
    </row>
    <row r="1397" spans="1:11">
      <c r="A1397" s="45"/>
      <c r="B1397" s="45"/>
      <c r="C1397" s="45"/>
      <c r="D1397" s="46"/>
      <c r="E1397" s="46"/>
      <c r="F1397" s="46"/>
      <c r="G1397" s="46"/>
      <c r="H1397" s="46"/>
      <c r="I1397" s="46"/>
      <c r="J1397" s="46"/>
      <c r="K1397" s="46"/>
    </row>
    <row r="1398" spans="1:11">
      <c r="A1398" s="45"/>
      <c r="B1398" s="45"/>
      <c r="C1398" s="45"/>
      <c r="D1398" s="46"/>
      <c r="E1398" s="46"/>
      <c r="F1398" s="46"/>
      <c r="G1398" s="46"/>
      <c r="H1398" s="46"/>
      <c r="I1398" s="46"/>
      <c r="J1398" s="46"/>
      <c r="K1398" s="46"/>
    </row>
    <row r="1399" spans="1:11">
      <c r="A1399" s="45"/>
      <c r="B1399" s="45"/>
      <c r="C1399" s="45"/>
      <c r="D1399" s="46"/>
      <c r="E1399" s="46"/>
      <c r="F1399" s="46"/>
      <c r="G1399" s="46"/>
      <c r="H1399" s="46"/>
      <c r="I1399" s="46"/>
      <c r="J1399" s="46"/>
      <c r="K1399" s="46"/>
    </row>
    <row r="1400" spans="1:11">
      <c r="A1400" s="45"/>
      <c r="B1400" s="45"/>
      <c r="C1400" s="45"/>
      <c r="D1400" s="46"/>
      <c r="E1400" s="46"/>
      <c r="F1400" s="46"/>
      <c r="G1400" s="46"/>
      <c r="H1400" s="46"/>
      <c r="I1400" s="46"/>
      <c r="J1400" s="46"/>
      <c r="K1400" s="46"/>
    </row>
    <row r="1401" spans="1:11">
      <c r="A1401" s="45"/>
      <c r="B1401" s="45"/>
      <c r="C1401" s="45"/>
      <c r="D1401" s="46"/>
      <c r="E1401" s="46"/>
      <c r="F1401" s="46"/>
      <c r="G1401" s="46"/>
      <c r="H1401" s="46"/>
      <c r="I1401" s="46"/>
      <c r="J1401" s="46"/>
      <c r="K1401" s="46"/>
    </row>
    <row r="1402" spans="1:11">
      <c r="A1402" s="45"/>
      <c r="B1402" s="45"/>
      <c r="C1402" s="45"/>
      <c r="D1402" s="46"/>
      <c r="E1402" s="46"/>
      <c r="F1402" s="46"/>
      <c r="G1402" s="46"/>
      <c r="H1402" s="46"/>
      <c r="I1402" s="46"/>
      <c r="J1402" s="46"/>
      <c r="K1402" s="46"/>
    </row>
    <row r="1403" spans="1:11">
      <c r="A1403" s="45"/>
      <c r="B1403" s="45"/>
      <c r="C1403" s="45"/>
      <c r="D1403" s="46"/>
      <c r="E1403" s="46"/>
      <c r="F1403" s="46"/>
      <c r="G1403" s="46"/>
      <c r="H1403" s="46"/>
      <c r="I1403" s="46"/>
      <c r="J1403" s="46"/>
      <c r="K1403" s="46"/>
    </row>
    <row r="1404" spans="1:11">
      <c r="A1404" s="45"/>
      <c r="B1404" s="45"/>
      <c r="C1404" s="45"/>
      <c r="D1404" s="46"/>
      <c r="E1404" s="46"/>
      <c r="F1404" s="46"/>
      <c r="G1404" s="46"/>
      <c r="H1404" s="46"/>
      <c r="I1404" s="46"/>
      <c r="J1404" s="46"/>
      <c r="K1404" s="46"/>
    </row>
    <row r="1405" spans="1:11">
      <c r="A1405" s="45"/>
      <c r="B1405" s="45"/>
      <c r="C1405" s="45"/>
      <c r="D1405" s="46"/>
      <c r="E1405" s="46"/>
      <c r="F1405" s="46"/>
      <c r="G1405" s="46"/>
      <c r="H1405" s="46"/>
      <c r="I1405" s="46"/>
      <c r="J1405" s="46"/>
      <c r="K1405" s="46"/>
    </row>
    <row r="1406" spans="1:11">
      <c r="A1406" s="45"/>
      <c r="B1406" s="45"/>
      <c r="C1406" s="45"/>
      <c r="D1406" s="46"/>
      <c r="E1406" s="46"/>
      <c r="F1406" s="46"/>
      <c r="G1406" s="46"/>
      <c r="H1406" s="46"/>
      <c r="I1406" s="46"/>
      <c r="J1406" s="46"/>
      <c r="K1406" s="46"/>
    </row>
    <row r="1407" spans="1:11">
      <c r="A1407" s="45"/>
      <c r="B1407" s="45"/>
      <c r="C1407" s="45"/>
      <c r="D1407" s="46"/>
      <c r="E1407" s="46"/>
      <c r="F1407" s="46"/>
      <c r="G1407" s="46"/>
      <c r="H1407" s="46"/>
      <c r="I1407" s="46"/>
      <c r="J1407" s="46"/>
      <c r="K1407" s="46"/>
    </row>
    <row r="1408" spans="1:11">
      <c r="A1408" s="45"/>
      <c r="B1408" s="45"/>
      <c r="C1408" s="45"/>
      <c r="D1408" s="46"/>
      <c r="E1408" s="46"/>
      <c r="F1408" s="46"/>
      <c r="G1408" s="46"/>
      <c r="H1408" s="46"/>
      <c r="I1408" s="46"/>
      <c r="J1408" s="46"/>
      <c r="K1408" s="46"/>
    </row>
    <row r="1409" spans="1:11">
      <c r="A1409" s="45"/>
      <c r="B1409" s="45"/>
      <c r="C1409" s="45"/>
      <c r="D1409" s="46"/>
      <c r="E1409" s="46"/>
      <c r="F1409" s="46"/>
      <c r="G1409" s="46"/>
      <c r="H1409" s="46"/>
      <c r="I1409" s="46"/>
      <c r="J1409" s="46"/>
      <c r="K1409" s="46"/>
    </row>
    <row r="1410" spans="1:11">
      <c r="A1410" s="45"/>
      <c r="B1410" s="45"/>
      <c r="C1410" s="45"/>
      <c r="D1410" s="46"/>
      <c r="E1410" s="46"/>
      <c r="F1410" s="46"/>
      <c r="G1410" s="46"/>
      <c r="H1410" s="46"/>
      <c r="I1410" s="46"/>
      <c r="J1410" s="46"/>
      <c r="K1410" s="46"/>
    </row>
    <row r="1411" spans="1:11">
      <c r="A1411" s="45"/>
      <c r="B1411" s="45"/>
      <c r="C1411" s="45"/>
      <c r="D1411" s="46"/>
      <c r="E1411" s="46"/>
      <c r="F1411" s="46"/>
      <c r="G1411" s="46"/>
      <c r="H1411" s="46"/>
      <c r="I1411" s="46"/>
      <c r="J1411" s="46"/>
      <c r="K1411" s="46"/>
    </row>
    <row r="1412" spans="1:11">
      <c r="A1412" s="45"/>
      <c r="B1412" s="45"/>
      <c r="C1412" s="45"/>
      <c r="D1412" s="46"/>
      <c r="E1412" s="46"/>
      <c r="F1412" s="46"/>
      <c r="G1412" s="46"/>
      <c r="H1412" s="46"/>
      <c r="I1412" s="46"/>
      <c r="J1412" s="46"/>
      <c r="K1412" s="46"/>
    </row>
    <row r="1413" spans="1:11">
      <c r="A1413" s="45"/>
      <c r="B1413" s="45"/>
      <c r="C1413" s="45"/>
      <c r="D1413" s="46"/>
      <c r="E1413" s="46"/>
      <c r="F1413" s="46"/>
      <c r="G1413" s="46"/>
      <c r="H1413" s="46"/>
      <c r="I1413" s="46"/>
      <c r="J1413" s="46"/>
      <c r="K1413" s="46"/>
    </row>
    <row r="1414" spans="1:11">
      <c r="A1414" s="45"/>
      <c r="B1414" s="45"/>
      <c r="C1414" s="45"/>
      <c r="D1414" s="46"/>
      <c r="E1414" s="46"/>
      <c r="F1414" s="46"/>
      <c r="G1414" s="46"/>
      <c r="H1414" s="46"/>
      <c r="I1414" s="46"/>
      <c r="J1414" s="46"/>
      <c r="K1414" s="46"/>
    </row>
    <row r="1415" spans="1:11">
      <c r="A1415" s="45"/>
      <c r="B1415" s="45"/>
      <c r="C1415" s="45"/>
      <c r="D1415" s="46"/>
      <c r="E1415" s="46"/>
      <c r="F1415" s="46"/>
      <c r="G1415" s="46"/>
      <c r="H1415" s="46"/>
      <c r="I1415" s="46"/>
      <c r="J1415" s="46"/>
      <c r="K1415" s="46"/>
    </row>
    <row r="1416" spans="1:11">
      <c r="A1416" s="45"/>
      <c r="B1416" s="45"/>
      <c r="C1416" s="45"/>
      <c r="D1416" s="46"/>
      <c r="E1416" s="46"/>
      <c r="F1416" s="46"/>
      <c r="G1416" s="46"/>
      <c r="H1416" s="46"/>
      <c r="I1416" s="46"/>
      <c r="J1416" s="46"/>
      <c r="K1416" s="46"/>
    </row>
    <row r="1417" spans="1:11">
      <c r="A1417" s="45"/>
      <c r="B1417" s="45"/>
      <c r="C1417" s="45"/>
      <c r="D1417" s="46"/>
      <c r="E1417" s="46"/>
      <c r="F1417" s="46"/>
      <c r="G1417" s="46"/>
      <c r="H1417" s="46"/>
      <c r="I1417" s="46"/>
      <c r="J1417" s="46"/>
      <c r="K1417" s="46"/>
    </row>
    <row r="1418" spans="1:11">
      <c r="A1418" s="45"/>
      <c r="B1418" s="45"/>
      <c r="C1418" s="45"/>
      <c r="D1418" s="46"/>
      <c r="E1418" s="46"/>
      <c r="F1418" s="46"/>
      <c r="G1418" s="46"/>
      <c r="H1418" s="46"/>
      <c r="I1418" s="46"/>
      <c r="J1418" s="46"/>
      <c r="K1418" s="46"/>
    </row>
    <row r="1419" spans="1:11">
      <c r="A1419" s="45"/>
      <c r="B1419" s="45"/>
      <c r="C1419" s="45"/>
      <c r="D1419" s="46"/>
      <c r="E1419" s="46"/>
      <c r="F1419" s="46"/>
      <c r="G1419" s="46"/>
      <c r="H1419" s="46"/>
      <c r="I1419" s="46"/>
      <c r="J1419" s="46"/>
      <c r="K1419" s="46"/>
    </row>
    <row r="1420" spans="1:11">
      <c r="A1420" s="45"/>
      <c r="B1420" s="45"/>
      <c r="C1420" s="45"/>
      <c r="D1420" s="46"/>
      <c r="E1420" s="46"/>
      <c r="F1420" s="46"/>
      <c r="G1420" s="46"/>
      <c r="H1420" s="46"/>
      <c r="I1420" s="46"/>
      <c r="J1420" s="46"/>
      <c r="K1420" s="46"/>
    </row>
    <row r="1421" spans="1:11">
      <c r="A1421" s="45"/>
      <c r="B1421" s="45"/>
      <c r="C1421" s="45"/>
      <c r="D1421" s="46"/>
      <c r="E1421" s="46"/>
      <c r="F1421" s="46"/>
      <c r="G1421" s="46"/>
      <c r="H1421" s="46"/>
      <c r="I1421" s="46"/>
      <c r="J1421" s="46"/>
      <c r="K1421" s="46"/>
    </row>
    <row r="1422" spans="1:11">
      <c r="A1422" s="45"/>
      <c r="B1422" s="45"/>
      <c r="C1422" s="45"/>
      <c r="D1422" s="46"/>
      <c r="E1422" s="46"/>
      <c r="F1422" s="46"/>
      <c r="G1422" s="46"/>
      <c r="H1422" s="46"/>
      <c r="I1422" s="46"/>
      <c r="J1422" s="46"/>
      <c r="K1422" s="46"/>
    </row>
    <row r="1423" spans="1:11">
      <c r="A1423" s="45"/>
      <c r="B1423" s="45"/>
      <c r="C1423" s="45"/>
      <c r="D1423" s="46"/>
      <c r="E1423" s="46"/>
      <c r="F1423" s="46"/>
      <c r="G1423" s="46"/>
      <c r="H1423" s="46"/>
      <c r="I1423" s="46"/>
      <c r="J1423" s="46"/>
      <c r="K1423" s="46"/>
    </row>
    <row r="1424" spans="1:11">
      <c r="A1424" s="45"/>
      <c r="B1424" s="45"/>
      <c r="C1424" s="45"/>
      <c r="D1424" s="46"/>
      <c r="E1424" s="46"/>
      <c r="F1424" s="46"/>
      <c r="G1424" s="46"/>
      <c r="H1424" s="46"/>
      <c r="I1424" s="46"/>
      <c r="J1424" s="46"/>
      <c r="K1424" s="46"/>
    </row>
    <row r="1425" spans="1:11">
      <c r="A1425" s="45"/>
      <c r="B1425" s="45"/>
      <c r="C1425" s="45"/>
      <c r="D1425" s="46"/>
      <c r="E1425" s="46"/>
      <c r="F1425" s="46"/>
      <c r="G1425" s="46"/>
      <c r="H1425" s="46"/>
      <c r="I1425" s="46"/>
      <c r="J1425" s="46"/>
      <c r="K1425" s="46"/>
    </row>
    <row r="1426" spans="1:11">
      <c r="A1426" s="45"/>
      <c r="B1426" s="45"/>
      <c r="C1426" s="45"/>
      <c r="D1426" s="46"/>
      <c r="E1426" s="46"/>
      <c r="F1426" s="46"/>
      <c r="G1426" s="46"/>
      <c r="H1426" s="46"/>
      <c r="I1426" s="46"/>
      <c r="J1426" s="46"/>
      <c r="K1426" s="46"/>
    </row>
    <row r="1427" spans="1:11">
      <c r="A1427" s="45"/>
      <c r="B1427" s="45"/>
      <c r="C1427" s="45"/>
      <c r="D1427" s="46"/>
      <c r="E1427" s="46"/>
      <c r="F1427" s="46"/>
      <c r="G1427" s="46"/>
      <c r="H1427" s="46"/>
      <c r="I1427" s="46"/>
      <c r="J1427" s="46"/>
      <c r="K1427" s="46"/>
    </row>
    <row r="1428" spans="1:11">
      <c r="A1428" s="45"/>
      <c r="B1428" s="45"/>
      <c r="C1428" s="45"/>
      <c r="D1428" s="46"/>
      <c r="E1428" s="46"/>
      <c r="F1428" s="46"/>
      <c r="G1428" s="46"/>
      <c r="H1428" s="46"/>
      <c r="I1428" s="46"/>
      <c r="J1428" s="46"/>
      <c r="K1428" s="46"/>
    </row>
    <row r="1429" spans="1:11">
      <c r="A1429" s="45"/>
      <c r="B1429" s="45"/>
      <c r="C1429" s="45"/>
      <c r="D1429" s="46"/>
      <c r="E1429" s="46"/>
      <c r="F1429" s="46"/>
      <c r="G1429" s="46"/>
      <c r="H1429" s="46"/>
      <c r="I1429" s="46"/>
      <c r="J1429" s="46"/>
      <c r="K1429" s="46"/>
    </row>
    <row r="1430" spans="1:11">
      <c r="A1430" s="45"/>
      <c r="B1430" s="45"/>
      <c r="C1430" s="45"/>
      <c r="D1430" s="46"/>
      <c r="E1430" s="46"/>
      <c r="F1430" s="46"/>
      <c r="G1430" s="46"/>
      <c r="H1430" s="46"/>
      <c r="I1430" s="46"/>
      <c r="J1430" s="46"/>
      <c r="K1430" s="46"/>
    </row>
    <row r="1431" spans="1:11">
      <c r="A1431" s="45"/>
      <c r="B1431" s="45"/>
      <c r="C1431" s="45"/>
      <c r="D1431" s="46"/>
      <c r="E1431" s="46"/>
      <c r="F1431" s="46"/>
      <c r="G1431" s="46"/>
      <c r="H1431" s="46"/>
      <c r="I1431" s="46"/>
      <c r="J1431" s="46"/>
      <c r="K1431" s="46"/>
    </row>
    <row r="1432" spans="1:11">
      <c r="A1432" s="45"/>
      <c r="B1432" s="45"/>
      <c r="C1432" s="45"/>
      <c r="D1432" s="46"/>
      <c r="E1432" s="46"/>
      <c r="F1432" s="46"/>
      <c r="G1432" s="46"/>
      <c r="H1432" s="46"/>
      <c r="I1432" s="46"/>
      <c r="J1432" s="46"/>
      <c r="K1432" s="46"/>
    </row>
    <row r="1433" spans="1:11">
      <c r="A1433" s="45"/>
      <c r="B1433" s="45"/>
      <c r="C1433" s="45"/>
      <c r="D1433" s="46"/>
      <c r="E1433" s="46"/>
      <c r="F1433" s="46"/>
      <c r="G1433" s="46"/>
      <c r="H1433" s="46"/>
      <c r="I1433" s="46"/>
      <c r="J1433" s="46"/>
      <c r="K1433" s="46"/>
    </row>
    <row r="1434" spans="1:11">
      <c r="A1434" s="45"/>
      <c r="B1434" s="45"/>
      <c r="C1434" s="45"/>
      <c r="D1434" s="46"/>
      <c r="E1434" s="46"/>
      <c r="F1434" s="46"/>
      <c r="G1434" s="46"/>
      <c r="H1434" s="46"/>
      <c r="I1434" s="46"/>
      <c r="J1434" s="46"/>
      <c r="K1434" s="46"/>
    </row>
    <row r="1435" spans="1:11">
      <c r="A1435" s="45"/>
      <c r="B1435" s="45"/>
      <c r="C1435" s="45"/>
      <c r="D1435" s="46"/>
      <c r="E1435" s="46"/>
      <c r="F1435" s="46"/>
      <c r="G1435" s="46"/>
      <c r="H1435" s="46"/>
      <c r="I1435" s="46"/>
      <c r="J1435" s="46"/>
      <c r="K1435" s="46"/>
    </row>
    <row r="1436" spans="1:11">
      <c r="A1436" s="45"/>
      <c r="B1436" s="45"/>
      <c r="C1436" s="45"/>
      <c r="D1436" s="46"/>
      <c r="E1436" s="46"/>
      <c r="F1436" s="46"/>
      <c r="G1436" s="46"/>
      <c r="H1436" s="46"/>
      <c r="I1436" s="46"/>
      <c r="J1436" s="46"/>
      <c r="K1436" s="46"/>
    </row>
    <row r="1437" spans="1:11">
      <c r="A1437" s="45"/>
      <c r="B1437" s="45"/>
      <c r="C1437" s="45"/>
      <c r="D1437" s="46"/>
      <c r="E1437" s="46"/>
      <c r="F1437" s="46"/>
      <c r="G1437" s="46"/>
      <c r="H1437" s="46"/>
      <c r="I1437" s="46"/>
      <c r="J1437" s="46"/>
      <c r="K1437" s="46"/>
    </row>
    <row r="1438" spans="1:11">
      <c r="A1438" s="45"/>
      <c r="B1438" s="45"/>
      <c r="C1438" s="45"/>
      <c r="D1438" s="46"/>
      <c r="E1438" s="46"/>
      <c r="F1438" s="46"/>
      <c r="G1438" s="46"/>
      <c r="H1438" s="46"/>
      <c r="I1438" s="46"/>
      <c r="J1438" s="46"/>
      <c r="K1438" s="46"/>
    </row>
    <row r="1439" spans="1:11">
      <c r="A1439" s="45"/>
      <c r="B1439" s="45"/>
      <c r="C1439" s="45"/>
      <c r="D1439" s="46"/>
      <c r="E1439" s="46"/>
      <c r="F1439" s="46"/>
      <c r="G1439" s="46"/>
      <c r="H1439" s="46"/>
      <c r="I1439" s="46"/>
      <c r="J1439" s="46"/>
      <c r="K1439" s="46"/>
    </row>
    <row r="1440" spans="1:11">
      <c r="A1440" s="45"/>
      <c r="B1440" s="45"/>
      <c r="C1440" s="45"/>
      <c r="D1440" s="46"/>
      <c r="E1440" s="46"/>
      <c r="F1440" s="46"/>
      <c r="G1440" s="46"/>
      <c r="H1440" s="46"/>
      <c r="I1440" s="46"/>
      <c r="J1440" s="46"/>
      <c r="K1440" s="46"/>
    </row>
    <row r="1441" spans="1:11">
      <c r="A1441" s="45"/>
      <c r="B1441" s="45"/>
      <c r="C1441" s="45"/>
      <c r="D1441" s="46"/>
      <c r="E1441" s="46"/>
      <c r="F1441" s="46"/>
      <c r="G1441" s="46"/>
      <c r="H1441" s="46"/>
      <c r="I1441" s="46"/>
      <c r="J1441" s="46"/>
      <c r="K1441" s="46"/>
    </row>
    <row r="1442" spans="1:11">
      <c r="A1442" s="45"/>
      <c r="B1442" s="45"/>
      <c r="C1442" s="45"/>
      <c r="D1442" s="46"/>
      <c r="E1442" s="46"/>
      <c r="F1442" s="46"/>
      <c r="G1442" s="46"/>
      <c r="H1442" s="46"/>
      <c r="I1442" s="46"/>
      <c r="J1442" s="46"/>
      <c r="K1442" s="46"/>
    </row>
    <row r="1443" spans="1:11">
      <c r="A1443" s="45"/>
      <c r="B1443" s="45"/>
      <c r="C1443" s="45"/>
      <c r="D1443" s="46"/>
      <c r="E1443" s="46"/>
      <c r="F1443" s="46"/>
      <c r="G1443" s="46"/>
      <c r="H1443" s="46"/>
      <c r="I1443" s="46"/>
      <c r="J1443" s="46"/>
      <c r="K1443" s="46"/>
    </row>
    <row r="1444" spans="1:11">
      <c r="A1444" s="45"/>
      <c r="B1444" s="45"/>
      <c r="C1444" s="45"/>
      <c r="D1444" s="46"/>
      <c r="E1444" s="46"/>
      <c r="F1444" s="46"/>
      <c r="G1444" s="46"/>
      <c r="H1444" s="46"/>
      <c r="I1444" s="46"/>
      <c r="J1444" s="46"/>
      <c r="K1444" s="46"/>
    </row>
    <row r="1445" spans="1:11">
      <c r="A1445" s="45"/>
      <c r="B1445" s="45"/>
      <c r="C1445" s="45"/>
      <c r="D1445" s="46"/>
      <c r="E1445" s="46"/>
      <c r="F1445" s="46"/>
      <c r="G1445" s="46"/>
      <c r="H1445" s="46"/>
      <c r="I1445" s="46"/>
      <c r="J1445" s="46"/>
      <c r="K1445" s="46"/>
    </row>
    <row r="1446" spans="1:11">
      <c r="A1446" s="45"/>
      <c r="B1446" s="45"/>
      <c r="C1446" s="45"/>
      <c r="D1446" s="46"/>
      <c r="E1446" s="46"/>
      <c r="F1446" s="46"/>
      <c r="G1446" s="46"/>
      <c r="H1446" s="46"/>
      <c r="I1446" s="46"/>
      <c r="J1446" s="46"/>
      <c r="K1446" s="46"/>
    </row>
    <row r="1447" spans="1:11">
      <c r="A1447" s="45"/>
      <c r="B1447" s="45"/>
      <c r="C1447" s="45"/>
      <c r="D1447" s="46"/>
      <c r="E1447" s="46"/>
      <c r="F1447" s="46"/>
      <c r="G1447" s="46"/>
      <c r="H1447" s="46"/>
      <c r="I1447" s="46"/>
      <c r="J1447" s="46"/>
      <c r="K1447" s="46"/>
    </row>
    <row r="1448" spans="1:11">
      <c r="A1448" s="45"/>
      <c r="B1448" s="45"/>
      <c r="C1448" s="45"/>
      <c r="D1448" s="46"/>
      <c r="E1448" s="46"/>
      <c r="F1448" s="46"/>
      <c r="G1448" s="46"/>
      <c r="H1448" s="46"/>
      <c r="I1448" s="46"/>
      <c r="J1448" s="46"/>
      <c r="K1448" s="46"/>
    </row>
    <row r="1449" spans="1:11">
      <c r="A1449" s="45"/>
      <c r="B1449" s="45"/>
      <c r="C1449" s="45"/>
      <c r="D1449" s="46"/>
      <c r="E1449" s="46"/>
      <c r="F1449" s="46"/>
      <c r="G1449" s="46"/>
      <c r="H1449" s="46"/>
      <c r="I1449" s="46"/>
      <c r="J1449" s="46"/>
      <c r="K1449" s="46"/>
    </row>
    <row r="1450" spans="1:11">
      <c r="A1450" s="45"/>
      <c r="B1450" s="45"/>
      <c r="C1450" s="45"/>
      <c r="D1450" s="46"/>
      <c r="E1450" s="46"/>
      <c r="F1450" s="46"/>
      <c r="G1450" s="46"/>
      <c r="H1450" s="46"/>
      <c r="I1450" s="46"/>
      <c r="J1450" s="46"/>
      <c r="K1450" s="46"/>
    </row>
    <row r="1451" spans="1:11">
      <c r="A1451" s="45"/>
      <c r="B1451" s="45"/>
      <c r="C1451" s="45"/>
      <c r="D1451" s="46"/>
      <c r="E1451" s="46"/>
      <c r="F1451" s="46"/>
      <c r="G1451" s="46"/>
      <c r="H1451" s="46"/>
      <c r="I1451" s="46"/>
      <c r="J1451" s="46"/>
      <c r="K1451" s="46"/>
    </row>
    <row r="1452" spans="1:11">
      <c r="A1452" s="45"/>
      <c r="B1452" s="45"/>
      <c r="C1452" s="45"/>
      <c r="D1452" s="46"/>
      <c r="E1452" s="46"/>
      <c r="F1452" s="46"/>
      <c r="G1452" s="46"/>
      <c r="H1452" s="46"/>
      <c r="I1452" s="46"/>
      <c r="J1452" s="46"/>
      <c r="K1452" s="46"/>
    </row>
    <row r="1453" spans="1:11">
      <c r="A1453" s="45"/>
      <c r="B1453" s="45"/>
      <c r="C1453" s="45"/>
      <c r="D1453" s="46"/>
      <c r="E1453" s="46"/>
      <c r="F1453" s="46"/>
      <c r="G1453" s="46"/>
      <c r="H1453" s="46"/>
      <c r="I1453" s="46"/>
      <c r="J1453" s="46"/>
      <c r="K1453" s="46"/>
    </row>
    <row r="1454" spans="1:11">
      <c r="A1454" s="45"/>
      <c r="B1454" s="45"/>
      <c r="C1454" s="45"/>
      <c r="D1454" s="46"/>
      <c r="E1454" s="46"/>
      <c r="F1454" s="46"/>
      <c r="G1454" s="46"/>
      <c r="H1454" s="46"/>
      <c r="I1454" s="46"/>
      <c r="J1454" s="46"/>
      <c r="K1454" s="46"/>
    </row>
    <row r="1455" spans="1:11">
      <c r="A1455" s="45"/>
      <c r="B1455" s="45"/>
      <c r="C1455" s="45"/>
      <c r="D1455" s="46"/>
      <c r="E1455" s="46"/>
      <c r="F1455" s="46"/>
      <c r="G1455" s="46"/>
      <c r="H1455" s="46"/>
      <c r="I1455" s="46"/>
      <c r="J1455" s="46"/>
      <c r="K1455" s="46"/>
    </row>
    <row r="1456" spans="1:11">
      <c r="A1456" s="45"/>
      <c r="B1456" s="45"/>
      <c r="C1456" s="45"/>
      <c r="D1456" s="46"/>
      <c r="E1456" s="46"/>
      <c r="F1456" s="46"/>
      <c r="G1456" s="46"/>
      <c r="H1456" s="46"/>
      <c r="I1456" s="46"/>
      <c r="J1456" s="46"/>
      <c r="K1456" s="46"/>
    </row>
    <row r="1457" spans="1:11">
      <c r="A1457" s="45"/>
      <c r="B1457" s="45"/>
      <c r="C1457" s="45"/>
      <c r="D1457" s="46"/>
      <c r="E1457" s="46"/>
      <c r="F1457" s="46"/>
      <c r="G1457" s="46"/>
      <c r="H1457" s="46"/>
      <c r="I1457" s="46"/>
      <c r="J1457" s="46"/>
      <c r="K1457" s="46"/>
    </row>
    <row r="1458" spans="1:11">
      <c r="A1458" s="45"/>
      <c r="B1458" s="45"/>
      <c r="C1458" s="45"/>
      <c r="D1458" s="46"/>
      <c r="E1458" s="46"/>
      <c r="F1458" s="46"/>
      <c r="G1458" s="46"/>
      <c r="H1458" s="46"/>
      <c r="I1458" s="46"/>
      <c r="J1458" s="46"/>
      <c r="K1458" s="46"/>
    </row>
    <row r="1459" spans="1:11">
      <c r="A1459" s="45"/>
      <c r="B1459" s="45"/>
      <c r="C1459" s="45"/>
      <c r="D1459" s="46"/>
      <c r="E1459" s="46"/>
      <c r="F1459" s="46"/>
      <c r="G1459" s="46"/>
      <c r="H1459" s="46"/>
      <c r="I1459" s="46"/>
      <c r="J1459" s="46"/>
      <c r="K1459" s="46"/>
    </row>
    <row r="1460" spans="1:11">
      <c r="A1460" s="45"/>
      <c r="B1460" s="45"/>
      <c r="C1460" s="45"/>
      <c r="D1460" s="46"/>
      <c r="E1460" s="46"/>
      <c r="F1460" s="46"/>
      <c r="G1460" s="46"/>
      <c r="H1460" s="46"/>
      <c r="I1460" s="46"/>
      <c r="J1460" s="46"/>
      <c r="K1460" s="46"/>
    </row>
    <row r="1461" spans="1:11">
      <c r="A1461" s="45"/>
      <c r="B1461" s="45"/>
      <c r="C1461" s="45"/>
      <c r="D1461" s="46"/>
      <c r="E1461" s="46"/>
      <c r="F1461" s="46"/>
      <c r="G1461" s="46"/>
      <c r="H1461" s="46"/>
      <c r="I1461" s="46"/>
      <c r="J1461" s="46"/>
      <c r="K1461" s="46"/>
    </row>
    <row r="1462" spans="1:11">
      <c r="A1462" s="45"/>
      <c r="B1462" s="45"/>
      <c r="C1462" s="45"/>
      <c r="D1462" s="46"/>
      <c r="E1462" s="46"/>
      <c r="F1462" s="46"/>
      <c r="G1462" s="46"/>
      <c r="H1462" s="46"/>
      <c r="I1462" s="46"/>
      <c r="J1462" s="46"/>
      <c r="K1462" s="46"/>
    </row>
    <row r="1463" spans="1:11">
      <c r="A1463" s="45"/>
      <c r="B1463" s="45"/>
      <c r="C1463" s="45"/>
      <c r="D1463" s="46"/>
      <c r="E1463" s="46"/>
      <c r="F1463" s="46"/>
      <c r="G1463" s="46"/>
      <c r="H1463" s="46"/>
      <c r="I1463" s="46"/>
      <c r="J1463" s="46"/>
      <c r="K1463" s="46"/>
    </row>
    <row r="1464" spans="1:11">
      <c r="A1464" s="45"/>
      <c r="B1464" s="45"/>
      <c r="C1464" s="45"/>
      <c r="D1464" s="46"/>
      <c r="E1464" s="46"/>
      <c r="F1464" s="46"/>
      <c r="G1464" s="46"/>
      <c r="H1464" s="46"/>
      <c r="I1464" s="46"/>
      <c r="J1464" s="46"/>
      <c r="K1464" s="46"/>
    </row>
    <row r="1465" spans="1:11">
      <c r="A1465" s="45"/>
      <c r="B1465" s="45"/>
      <c r="C1465" s="45"/>
      <c r="D1465" s="46"/>
      <c r="E1465" s="46"/>
      <c r="F1465" s="46"/>
      <c r="G1465" s="46"/>
      <c r="H1465" s="46"/>
      <c r="I1465" s="46"/>
      <c r="J1465" s="46"/>
      <c r="K1465" s="46"/>
    </row>
    <row r="1466" spans="1:11">
      <c r="A1466" s="45"/>
      <c r="B1466" s="45"/>
      <c r="C1466" s="45"/>
      <c r="D1466" s="46"/>
      <c r="E1466" s="46"/>
      <c r="F1466" s="46"/>
      <c r="G1466" s="46"/>
      <c r="H1466" s="46"/>
      <c r="I1466" s="46"/>
      <c r="J1466" s="46"/>
      <c r="K1466" s="46"/>
    </row>
    <row r="1467" spans="1:11">
      <c r="A1467" s="45"/>
      <c r="B1467" s="45"/>
      <c r="C1467" s="45"/>
      <c r="D1467" s="46"/>
      <c r="E1467" s="46"/>
      <c r="F1467" s="46"/>
      <c r="G1467" s="46"/>
      <c r="H1467" s="46"/>
      <c r="I1467" s="46"/>
      <c r="J1467" s="46"/>
      <c r="K1467" s="46"/>
    </row>
    <row r="1468" spans="1:11">
      <c r="A1468" s="45"/>
      <c r="B1468" s="45"/>
      <c r="C1468" s="45"/>
      <c r="D1468" s="46"/>
      <c r="E1468" s="46"/>
      <c r="F1468" s="46"/>
      <c r="G1468" s="46"/>
      <c r="H1468" s="46"/>
      <c r="I1468" s="46"/>
      <c r="J1468" s="46"/>
      <c r="K1468" s="46"/>
    </row>
    <row r="1469" spans="1:11">
      <c r="A1469" s="45"/>
      <c r="B1469" s="45"/>
      <c r="C1469" s="45"/>
      <c r="D1469" s="46"/>
      <c r="E1469" s="46"/>
      <c r="F1469" s="46"/>
      <c r="G1469" s="46"/>
      <c r="H1469" s="46"/>
      <c r="I1469" s="46"/>
      <c r="J1469" s="46"/>
      <c r="K1469" s="46"/>
    </row>
    <row r="1470" spans="1:11">
      <c r="A1470" s="45"/>
      <c r="B1470" s="45"/>
      <c r="C1470" s="45"/>
      <c r="D1470" s="46"/>
      <c r="E1470" s="46"/>
      <c r="F1470" s="46"/>
      <c r="G1470" s="46"/>
      <c r="H1470" s="46"/>
      <c r="I1470" s="46"/>
      <c r="J1470" s="46"/>
      <c r="K1470" s="46"/>
    </row>
    <row r="1471" spans="1:11">
      <c r="A1471" s="45"/>
      <c r="B1471" s="45"/>
      <c r="C1471" s="45"/>
      <c r="D1471" s="46"/>
      <c r="E1471" s="46"/>
      <c r="F1471" s="46"/>
      <c r="G1471" s="46"/>
      <c r="H1471" s="46"/>
      <c r="I1471" s="46"/>
      <c r="J1471" s="46"/>
      <c r="K1471" s="46"/>
    </row>
    <row r="1472" spans="1:11">
      <c r="A1472" s="45"/>
      <c r="B1472" s="45"/>
      <c r="C1472" s="45"/>
      <c r="D1472" s="46"/>
      <c r="E1472" s="46"/>
      <c r="F1472" s="46"/>
      <c r="G1472" s="46"/>
      <c r="H1472" s="46"/>
      <c r="I1472" s="46"/>
      <c r="J1472" s="46"/>
      <c r="K1472" s="46"/>
    </row>
    <row r="1473" spans="1:11">
      <c r="A1473" s="45"/>
      <c r="B1473" s="45"/>
      <c r="C1473" s="45"/>
      <c r="D1473" s="46"/>
      <c r="E1473" s="46"/>
      <c r="F1473" s="46"/>
      <c r="G1473" s="46"/>
      <c r="H1473" s="46"/>
      <c r="I1473" s="46"/>
      <c r="J1473" s="46"/>
      <c r="K1473" s="46"/>
    </row>
    <row r="1474" spans="1:11">
      <c r="A1474" s="45"/>
      <c r="B1474" s="45"/>
      <c r="C1474" s="45"/>
      <c r="D1474" s="46"/>
      <c r="E1474" s="46"/>
      <c r="F1474" s="46"/>
      <c r="G1474" s="46"/>
      <c r="H1474" s="46"/>
      <c r="I1474" s="46"/>
      <c r="J1474" s="46"/>
      <c r="K1474" s="46"/>
    </row>
    <row r="1475" spans="1:11">
      <c r="A1475" s="45"/>
      <c r="B1475" s="45"/>
      <c r="C1475" s="45"/>
      <c r="D1475" s="46"/>
      <c r="E1475" s="46"/>
      <c r="F1475" s="46"/>
      <c r="G1475" s="46"/>
      <c r="H1475" s="46"/>
      <c r="I1475" s="46"/>
      <c r="J1475" s="46"/>
      <c r="K1475" s="46"/>
    </row>
    <row r="1476" spans="1:11">
      <c r="A1476" s="45"/>
      <c r="B1476" s="45"/>
      <c r="C1476" s="45"/>
      <c r="D1476" s="46"/>
      <c r="E1476" s="46"/>
      <c r="F1476" s="46"/>
      <c r="G1476" s="46"/>
      <c r="H1476" s="46"/>
      <c r="I1476" s="46"/>
      <c r="J1476" s="46"/>
      <c r="K1476" s="46"/>
    </row>
    <row r="1477" spans="1:11">
      <c r="A1477" s="45"/>
      <c r="B1477" s="45"/>
      <c r="C1477" s="45"/>
      <c r="D1477" s="46"/>
      <c r="E1477" s="46"/>
      <c r="F1477" s="46"/>
      <c r="G1477" s="46"/>
      <c r="H1477" s="46"/>
      <c r="I1477" s="46"/>
      <c r="J1477" s="46"/>
      <c r="K1477" s="46"/>
    </row>
    <row r="1478" spans="1:11">
      <c r="A1478" s="45"/>
      <c r="B1478" s="45"/>
      <c r="C1478" s="45"/>
      <c r="D1478" s="46"/>
      <c r="E1478" s="46"/>
      <c r="F1478" s="46"/>
      <c r="G1478" s="46"/>
      <c r="H1478" s="46"/>
      <c r="I1478" s="46"/>
      <c r="J1478" s="46"/>
      <c r="K1478" s="46"/>
    </row>
    <row r="1479" spans="1:11">
      <c r="A1479" s="45"/>
      <c r="B1479" s="45"/>
      <c r="C1479" s="45"/>
      <c r="D1479" s="46"/>
      <c r="E1479" s="46"/>
      <c r="F1479" s="46"/>
      <c r="G1479" s="46"/>
      <c r="H1479" s="46"/>
      <c r="I1479" s="46"/>
      <c r="J1479" s="46"/>
      <c r="K1479" s="46"/>
    </row>
    <row r="1480" spans="1:11">
      <c r="A1480" s="45"/>
      <c r="B1480" s="45"/>
      <c r="C1480" s="45"/>
      <c r="D1480" s="46"/>
      <c r="E1480" s="46"/>
      <c r="F1480" s="46"/>
      <c r="G1480" s="46"/>
      <c r="H1480" s="46"/>
      <c r="I1480" s="46"/>
      <c r="J1480" s="46"/>
      <c r="K1480" s="46"/>
    </row>
    <row r="1481" spans="1:11">
      <c r="A1481" s="45"/>
      <c r="B1481" s="45"/>
      <c r="C1481" s="45"/>
      <c r="D1481" s="46"/>
      <c r="E1481" s="46"/>
      <c r="F1481" s="46"/>
      <c r="G1481" s="46"/>
      <c r="H1481" s="46"/>
      <c r="I1481" s="46"/>
      <c r="J1481" s="46"/>
      <c r="K1481" s="46"/>
    </row>
    <row r="1482" spans="1:11">
      <c r="A1482" s="45"/>
      <c r="B1482" s="45"/>
      <c r="C1482" s="45"/>
      <c r="D1482" s="46"/>
      <c r="E1482" s="46"/>
      <c r="F1482" s="46"/>
      <c r="G1482" s="46"/>
      <c r="H1482" s="46"/>
      <c r="I1482" s="46"/>
      <c r="J1482" s="46"/>
      <c r="K1482" s="46"/>
    </row>
    <row r="1483" spans="1:11">
      <c r="A1483" s="45"/>
      <c r="B1483" s="45"/>
      <c r="C1483" s="45"/>
      <c r="D1483" s="46"/>
      <c r="E1483" s="46"/>
      <c r="F1483" s="46"/>
      <c r="G1483" s="46"/>
      <c r="H1483" s="46"/>
      <c r="I1483" s="46"/>
      <c r="J1483" s="46"/>
      <c r="K1483" s="46"/>
    </row>
    <row r="1484" spans="1:11">
      <c r="A1484" s="45"/>
      <c r="B1484" s="45"/>
      <c r="C1484" s="45"/>
      <c r="D1484" s="46"/>
      <c r="E1484" s="46"/>
      <c r="F1484" s="46"/>
      <c r="G1484" s="46"/>
      <c r="H1484" s="46"/>
      <c r="I1484" s="46"/>
      <c r="J1484" s="46"/>
      <c r="K1484" s="46"/>
    </row>
    <row r="1485" spans="1:11">
      <c r="A1485" s="45"/>
      <c r="B1485" s="45"/>
      <c r="C1485" s="45"/>
      <c r="D1485" s="46"/>
      <c r="E1485" s="46"/>
      <c r="F1485" s="46"/>
      <c r="G1485" s="46"/>
      <c r="H1485" s="46"/>
      <c r="I1485" s="46"/>
      <c r="J1485" s="46"/>
      <c r="K1485" s="46"/>
    </row>
    <row r="1486" spans="1:11">
      <c r="A1486" s="45"/>
      <c r="B1486" s="45"/>
      <c r="C1486" s="45"/>
      <c r="D1486" s="46"/>
      <c r="E1486" s="46"/>
      <c r="F1486" s="46"/>
      <c r="G1486" s="46"/>
      <c r="H1486" s="46"/>
      <c r="I1486" s="46"/>
      <c r="J1486" s="46"/>
      <c r="K1486" s="46"/>
    </row>
    <row r="1487" spans="1:11">
      <c r="A1487" s="45"/>
      <c r="B1487" s="45"/>
      <c r="C1487" s="45"/>
      <c r="D1487" s="46"/>
      <c r="E1487" s="46"/>
      <c r="F1487" s="46"/>
      <c r="G1487" s="46"/>
      <c r="H1487" s="46"/>
      <c r="I1487" s="46"/>
      <c r="J1487" s="46"/>
      <c r="K1487" s="46"/>
    </row>
    <row r="1488" spans="1:11">
      <c r="A1488" s="45"/>
      <c r="B1488" s="45"/>
      <c r="C1488" s="45"/>
      <c r="D1488" s="46"/>
      <c r="E1488" s="46"/>
      <c r="F1488" s="46"/>
      <c r="G1488" s="46"/>
      <c r="H1488" s="46"/>
      <c r="I1488" s="46"/>
      <c r="J1488" s="46"/>
      <c r="K1488" s="46"/>
    </row>
    <row r="1489" spans="1:11">
      <c r="A1489" s="45"/>
      <c r="B1489" s="45"/>
      <c r="C1489" s="45"/>
      <c r="D1489" s="46"/>
      <c r="E1489" s="46"/>
      <c r="F1489" s="46"/>
      <c r="G1489" s="46"/>
      <c r="H1489" s="46"/>
      <c r="I1489" s="46"/>
      <c r="J1489" s="46"/>
      <c r="K1489" s="46"/>
    </row>
    <row r="1490" spans="1:11">
      <c r="A1490" s="45"/>
      <c r="B1490" s="45"/>
      <c r="C1490" s="45"/>
      <c r="D1490" s="46"/>
      <c r="E1490" s="46"/>
      <c r="F1490" s="46"/>
      <c r="G1490" s="46"/>
      <c r="H1490" s="46"/>
      <c r="I1490" s="46"/>
      <c r="J1490" s="46"/>
      <c r="K1490" s="46"/>
    </row>
    <row r="1491" spans="1:11">
      <c r="A1491" s="45"/>
      <c r="B1491" s="45"/>
      <c r="C1491" s="45"/>
      <c r="D1491" s="46"/>
      <c r="E1491" s="46"/>
      <c r="F1491" s="46"/>
      <c r="G1491" s="46"/>
      <c r="H1491" s="46"/>
      <c r="I1491" s="46"/>
      <c r="J1491" s="46"/>
      <c r="K1491" s="46"/>
    </row>
    <row r="1492" spans="1:11">
      <c r="A1492" s="45"/>
      <c r="B1492" s="45"/>
      <c r="C1492" s="45"/>
      <c r="D1492" s="46"/>
      <c r="E1492" s="46"/>
      <c r="F1492" s="46"/>
      <c r="G1492" s="46"/>
      <c r="H1492" s="46"/>
      <c r="I1492" s="46"/>
      <c r="J1492" s="46"/>
      <c r="K1492" s="46"/>
    </row>
    <row r="1493" spans="1:11">
      <c r="A1493" s="45"/>
      <c r="B1493" s="45"/>
      <c r="C1493" s="45"/>
      <c r="D1493" s="46"/>
      <c r="E1493" s="46"/>
      <c r="F1493" s="46"/>
      <c r="G1493" s="46"/>
      <c r="H1493" s="46"/>
      <c r="I1493" s="46"/>
      <c r="J1493" s="46"/>
      <c r="K1493" s="46"/>
    </row>
    <row r="1494" spans="1:11">
      <c r="A1494" s="45"/>
      <c r="B1494" s="45"/>
      <c r="C1494" s="45"/>
      <c r="D1494" s="46"/>
      <c r="E1494" s="46"/>
      <c r="F1494" s="46"/>
      <c r="G1494" s="46"/>
      <c r="H1494" s="46"/>
      <c r="I1494" s="46"/>
      <c r="J1494" s="46"/>
      <c r="K1494" s="46"/>
    </row>
    <row r="1495" spans="1:11">
      <c r="A1495" s="45"/>
      <c r="B1495" s="45"/>
      <c r="C1495" s="45"/>
      <c r="D1495" s="46"/>
      <c r="E1495" s="46"/>
      <c r="F1495" s="46"/>
      <c r="G1495" s="46"/>
      <c r="H1495" s="46"/>
      <c r="I1495" s="46"/>
      <c r="J1495" s="46"/>
      <c r="K1495" s="46"/>
    </row>
    <row r="1496" spans="1:11">
      <c r="A1496" s="45"/>
      <c r="B1496" s="45"/>
      <c r="C1496" s="45"/>
      <c r="D1496" s="46"/>
      <c r="E1496" s="46"/>
      <c r="F1496" s="46"/>
      <c r="G1496" s="46"/>
      <c r="H1496" s="46"/>
      <c r="I1496" s="46"/>
      <c r="J1496" s="46"/>
      <c r="K1496" s="46"/>
    </row>
    <row r="1497" spans="1:11">
      <c r="A1497" s="45"/>
      <c r="B1497" s="45"/>
      <c r="C1497" s="45"/>
      <c r="D1497" s="46"/>
      <c r="E1497" s="46"/>
      <c r="F1497" s="46"/>
      <c r="G1497" s="46"/>
      <c r="H1497" s="46"/>
      <c r="I1497" s="46"/>
      <c r="J1497" s="46"/>
      <c r="K1497" s="46"/>
    </row>
    <row r="1498" spans="1:11">
      <c r="A1498" s="45"/>
      <c r="B1498" s="45"/>
      <c r="C1498" s="45"/>
      <c r="D1498" s="46"/>
      <c r="E1498" s="46"/>
      <c r="F1498" s="46"/>
      <c r="G1498" s="46"/>
      <c r="H1498" s="46"/>
      <c r="I1498" s="46"/>
      <c r="J1498" s="46"/>
      <c r="K1498" s="46"/>
    </row>
    <row r="1499" spans="1:11">
      <c r="A1499" s="45"/>
      <c r="B1499" s="45"/>
      <c r="C1499" s="45"/>
      <c r="D1499" s="46"/>
      <c r="E1499" s="46"/>
      <c r="F1499" s="46"/>
      <c r="G1499" s="46"/>
      <c r="H1499" s="46"/>
      <c r="I1499" s="46"/>
      <c r="J1499" s="46"/>
      <c r="K1499" s="46"/>
    </row>
    <row r="1500" spans="1:11">
      <c r="A1500" s="45"/>
      <c r="B1500" s="45"/>
      <c r="C1500" s="45"/>
      <c r="D1500" s="46"/>
      <c r="E1500" s="46"/>
      <c r="F1500" s="46"/>
      <c r="G1500" s="46"/>
      <c r="H1500" s="46"/>
      <c r="I1500" s="46"/>
      <c r="J1500" s="46"/>
      <c r="K1500" s="46"/>
    </row>
    <row r="1501" spans="1:11">
      <c r="A1501" s="45"/>
      <c r="B1501" s="45"/>
      <c r="C1501" s="45"/>
      <c r="D1501" s="46"/>
      <c r="E1501" s="46"/>
      <c r="F1501" s="46"/>
      <c r="G1501" s="46"/>
      <c r="H1501" s="46"/>
      <c r="I1501" s="46"/>
      <c r="J1501" s="46"/>
      <c r="K1501" s="46"/>
    </row>
    <row r="1502" spans="1:11">
      <c r="A1502" s="45"/>
      <c r="B1502" s="45"/>
      <c r="C1502" s="45"/>
      <c r="D1502" s="46"/>
      <c r="E1502" s="46"/>
      <c r="F1502" s="46"/>
      <c r="G1502" s="46"/>
      <c r="H1502" s="46"/>
      <c r="I1502" s="46"/>
      <c r="J1502" s="46"/>
      <c r="K1502" s="46"/>
    </row>
    <row r="1503" spans="1:11">
      <c r="A1503" s="45"/>
      <c r="B1503" s="45"/>
      <c r="C1503" s="45"/>
      <c r="D1503" s="46"/>
      <c r="E1503" s="46"/>
      <c r="F1503" s="46"/>
      <c r="G1503" s="46"/>
      <c r="H1503" s="46"/>
      <c r="I1503" s="46"/>
      <c r="J1503" s="46"/>
      <c r="K1503" s="46"/>
    </row>
    <row r="1504" spans="1:11">
      <c r="A1504" s="45"/>
      <c r="B1504" s="45"/>
      <c r="C1504" s="45"/>
      <c r="D1504" s="46"/>
      <c r="E1504" s="46"/>
      <c r="F1504" s="46"/>
      <c r="G1504" s="46"/>
      <c r="H1504" s="46"/>
      <c r="I1504" s="46"/>
      <c r="J1504" s="46"/>
      <c r="K1504" s="46"/>
    </row>
    <row r="1505" spans="1:11">
      <c r="A1505" s="45"/>
      <c r="B1505" s="45"/>
      <c r="C1505" s="45"/>
      <c r="D1505" s="46"/>
      <c r="E1505" s="46"/>
      <c r="F1505" s="46"/>
      <c r="G1505" s="46"/>
      <c r="H1505" s="46"/>
      <c r="I1505" s="46"/>
      <c r="J1505" s="46"/>
      <c r="K1505" s="46"/>
    </row>
    <row r="1506" spans="1:11">
      <c r="A1506" s="45"/>
      <c r="B1506" s="45"/>
      <c r="C1506" s="45"/>
      <c r="D1506" s="46"/>
      <c r="E1506" s="46"/>
      <c r="F1506" s="46"/>
      <c r="G1506" s="46"/>
      <c r="H1506" s="46"/>
      <c r="I1506" s="46"/>
      <c r="J1506" s="46"/>
      <c r="K1506" s="46"/>
    </row>
    <row r="1507" spans="1:11">
      <c r="A1507" s="45"/>
      <c r="B1507" s="45"/>
      <c r="C1507" s="45"/>
      <c r="D1507" s="46"/>
      <c r="E1507" s="46"/>
      <c r="F1507" s="46"/>
      <c r="G1507" s="46"/>
      <c r="H1507" s="46"/>
      <c r="I1507" s="46"/>
      <c r="J1507" s="46"/>
      <c r="K1507" s="46"/>
    </row>
    <row r="1508" spans="1:11">
      <c r="A1508" s="45"/>
      <c r="B1508" s="45"/>
      <c r="C1508" s="45"/>
      <c r="D1508" s="46"/>
      <c r="E1508" s="46"/>
      <c r="F1508" s="46"/>
      <c r="G1508" s="46"/>
      <c r="H1508" s="46"/>
      <c r="I1508" s="46"/>
      <c r="J1508" s="46"/>
      <c r="K1508" s="46"/>
    </row>
    <row r="1509" spans="1:11">
      <c r="A1509" s="45"/>
      <c r="B1509" s="45"/>
      <c r="C1509" s="45"/>
      <c r="D1509" s="46"/>
      <c r="E1509" s="46"/>
      <c r="F1509" s="46"/>
      <c r="G1509" s="46"/>
      <c r="H1509" s="46"/>
      <c r="I1509" s="46"/>
      <c r="J1509" s="46"/>
      <c r="K1509" s="46"/>
    </row>
    <row r="1510" spans="1:11">
      <c r="A1510" s="45"/>
      <c r="B1510" s="45"/>
      <c r="C1510" s="45"/>
      <c r="D1510" s="46"/>
      <c r="E1510" s="46"/>
      <c r="F1510" s="46"/>
      <c r="G1510" s="46"/>
      <c r="H1510" s="46"/>
      <c r="I1510" s="46"/>
      <c r="J1510" s="46"/>
      <c r="K1510" s="46"/>
    </row>
    <row r="1511" spans="1:11">
      <c r="A1511" s="45"/>
      <c r="B1511" s="45"/>
      <c r="C1511" s="45"/>
      <c r="D1511" s="46"/>
      <c r="E1511" s="46"/>
      <c r="F1511" s="46"/>
      <c r="G1511" s="46"/>
      <c r="H1511" s="46"/>
      <c r="I1511" s="46"/>
      <c r="J1511" s="46"/>
      <c r="K1511" s="46"/>
    </row>
    <row r="1512" spans="1:11">
      <c r="A1512" s="45"/>
      <c r="B1512" s="45"/>
      <c r="C1512" s="45"/>
      <c r="D1512" s="46"/>
      <c r="E1512" s="46"/>
      <c r="F1512" s="46"/>
      <c r="G1512" s="46"/>
      <c r="H1512" s="46"/>
      <c r="I1512" s="46"/>
      <c r="J1512" s="46"/>
      <c r="K1512" s="46"/>
    </row>
    <row r="1513" spans="1:11">
      <c r="A1513" s="45"/>
      <c r="B1513" s="45"/>
      <c r="C1513" s="45"/>
      <c r="D1513" s="46"/>
      <c r="E1513" s="46"/>
      <c r="F1513" s="46"/>
      <c r="G1513" s="46"/>
      <c r="H1513" s="46"/>
      <c r="I1513" s="46"/>
      <c r="J1513" s="46"/>
      <c r="K1513" s="46"/>
    </row>
    <row r="1514" spans="1:11">
      <c r="A1514" s="45"/>
      <c r="B1514" s="45"/>
      <c r="C1514" s="45"/>
      <c r="D1514" s="46"/>
      <c r="E1514" s="46"/>
      <c r="F1514" s="46"/>
      <c r="G1514" s="46"/>
      <c r="H1514" s="46"/>
      <c r="I1514" s="46"/>
      <c r="J1514" s="46"/>
      <c r="K1514" s="46"/>
    </row>
    <row r="1515" spans="1:11">
      <c r="A1515" s="45"/>
      <c r="B1515" s="45"/>
      <c r="C1515" s="45"/>
      <c r="D1515" s="46"/>
      <c r="E1515" s="46"/>
      <c r="F1515" s="46"/>
      <c r="G1515" s="46"/>
      <c r="H1515" s="46"/>
      <c r="I1515" s="46"/>
      <c r="J1515" s="46"/>
      <c r="K1515" s="46"/>
    </row>
    <row r="1516" spans="1:11">
      <c r="A1516" s="45"/>
      <c r="B1516" s="45"/>
      <c r="C1516" s="45"/>
      <c r="D1516" s="46"/>
      <c r="E1516" s="46"/>
      <c r="F1516" s="46"/>
      <c r="G1516" s="46"/>
      <c r="H1516" s="46"/>
      <c r="I1516" s="46"/>
      <c r="J1516" s="46"/>
      <c r="K1516" s="46"/>
    </row>
    <row r="1517" spans="1:11">
      <c r="A1517" s="45"/>
      <c r="B1517" s="45"/>
      <c r="C1517" s="45"/>
      <c r="D1517" s="46"/>
      <c r="E1517" s="46"/>
      <c r="F1517" s="46"/>
      <c r="G1517" s="46"/>
      <c r="H1517" s="46"/>
      <c r="I1517" s="46"/>
      <c r="J1517" s="46"/>
      <c r="K1517" s="46"/>
    </row>
    <row r="1518" spans="1:11">
      <c r="A1518" s="45"/>
      <c r="B1518" s="45"/>
      <c r="C1518" s="45"/>
      <c r="D1518" s="46"/>
      <c r="E1518" s="46"/>
      <c r="F1518" s="46"/>
      <c r="G1518" s="46"/>
      <c r="H1518" s="46"/>
      <c r="I1518" s="46"/>
      <c r="J1518" s="46"/>
      <c r="K1518" s="46"/>
    </row>
    <row r="1519" spans="1:11">
      <c r="A1519" s="45"/>
      <c r="B1519" s="45"/>
      <c r="C1519" s="45"/>
      <c r="D1519" s="46"/>
      <c r="E1519" s="46"/>
      <c r="F1519" s="46"/>
      <c r="G1519" s="46"/>
      <c r="H1519" s="46"/>
      <c r="I1519" s="46"/>
      <c r="J1519" s="46"/>
      <c r="K1519" s="46"/>
    </row>
    <row r="1520" spans="1:11">
      <c r="A1520" s="45"/>
      <c r="B1520" s="45"/>
      <c r="C1520" s="45"/>
      <c r="D1520" s="46"/>
      <c r="E1520" s="46"/>
      <c r="F1520" s="46"/>
      <c r="G1520" s="46"/>
      <c r="H1520" s="46"/>
      <c r="I1520" s="46"/>
      <c r="J1520" s="46"/>
      <c r="K1520" s="46"/>
    </row>
    <row r="1521" spans="1:11">
      <c r="A1521" s="45"/>
      <c r="B1521" s="45"/>
      <c r="C1521" s="45"/>
      <c r="D1521" s="46"/>
      <c r="E1521" s="46"/>
      <c r="F1521" s="46"/>
      <c r="G1521" s="46"/>
      <c r="H1521" s="46"/>
      <c r="I1521" s="46"/>
      <c r="J1521" s="46"/>
      <c r="K1521" s="46"/>
    </row>
    <row r="1522" spans="1:11">
      <c r="A1522" s="45"/>
      <c r="B1522" s="45"/>
      <c r="C1522" s="45"/>
      <c r="D1522" s="46"/>
      <c r="E1522" s="46"/>
      <c r="F1522" s="46"/>
      <c r="G1522" s="46"/>
      <c r="H1522" s="46"/>
      <c r="I1522" s="46"/>
      <c r="J1522" s="46"/>
      <c r="K1522" s="46"/>
    </row>
    <row r="1523" spans="1:11">
      <c r="A1523" s="45"/>
      <c r="B1523" s="45"/>
      <c r="C1523" s="45"/>
      <c r="D1523" s="46"/>
      <c r="E1523" s="46"/>
      <c r="F1523" s="46"/>
      <c r="G1523" s="46"/>
      <c r="H1523" s="46"/>
      <c r="I1523" s="46"/>
      <c r="J1523" s="46"/>
      <c r="K1523" s="46"/>
    </row>
    <row r="1524" spans="1:11">
      <c r="A1524" s="45"/>
      <c r="B1524" s="45"/>
      <c r="C1524" s="45"/>
      <c r="D1524" s="46"/>
      <c r="E1524" s="46"/>
      <c r="F1524" s="46"/>
      <c r="G1524" s="46"/>
      <c r="H1524" s="46"/>
      <c r="I1524" s="46"/>
      <c r="J1524" s="46"/>
      <c r="K1524" s="46"/>
    </row>
    <row r="1525" spans="1:11">
      <c r="A1525" s="45"/>
      <c r="B1525" s="45"/>
      <c r="C1525" s="45"/>
      <c r="D1525" s="46"/>
      <c r="E1525" s="46"/>
      <c r="F1525" s="46"/>
      <c r="G1525" s="46"/>
      <c r="H1525" s="46"/>
      <c r="I1525" s="46"/>
      <c r="J1525" s="46"/>
      <c r="K1525" s="46"/>
    </row>
    <row r="1526" spans="1:11">
      <c r="A1526" s="45"/>
      <c r="B1526" s="45"/>
      <c r="C1526" s="45"/>
      <c r="D1526" s="46"/>
      <c r="E1526" s="46"/>
      <c r="F1526" s="46"/>
      <c r="G1526" s="46"/>
      <c r="H1526" s="46"/>
      <c r="I1526" s="46"/>
      <c r="J1526" s="46"/>
      <c r="K1526" s="46"/>
    </row>
    <row r="1527" spans="1:11">
      <c r="A1527" s="45"/>
      <c r="B1527" s="45"/>
      <c r="C1527" s="45"/>
      <c r="D1527" s="46"/>
      <c r="E1527" s="46"/>
      <c r="F1527" s="46"/>
      <c r="G1527" s="46"/>
      <c r="H1527" s="46"/>
      <c r="I1527" s="46"/>
      <c r="J1527" s="46"/>
      <c r="K1527" s="46"/>
    </row>
    <row r="1528" spans="1:11">
      <c r="A1528" s="45"/>
      <c r="B1528" s="45"/>
      <c r="C1528" s="45"/>
      <c r="D1528" s="46"/>
      <c r="E1528" s="46"/>
      <c r="F1528" s="46"/>
      <c r="G1528" s="46"/>
      <c r="H1528" s="46"/>
      <c r="I1528" s="46"/>
      <c r="J1528" s="46"/>
      <c r="K1528" s="46"/>
    </row>
    <row r="1529" spans="1:11">
      <c r="A1529" s="45"/>
      <c r="B1529" s="45"/>
      <c r="C1529" s="45"/>
      <c r="D1529" s="46"/>
      <c r="E1529" s="46"/>
      <c r="F1529" s="46"/>
      <c r="G1529" s="46"/>
      <c r="H1529" s="46"/>
      <c r="I1529" s="46"/>
      <c r="J1529" s="46"/>
      <c r="K1529" s="46"/>
    </row>
    <row r="1530" spans="1:11">
      <c r="A1530" s="45"/>
      <c r="B1530" s="45"/>
      <c r="C1530" s="45"/>
      <c r="D1530" s="46"/>
      <c r="E1530" s="46"/>
      <c r="F1530" s="46"/>
      <c r="G1530" s="46"/>
      <c r="H1530" s="46"/>
      <c r="I1530" s="46"/>
      <c r="J1530" s="46"/>
      <c r="K1530" s="46"/>
    </row>
    <row r="1531" spans="1:11">
      <c r="A1531" s="45"/>
      <c r="B1531" s="45"/>
      <c r="C1531" s="45"/>
      <c r="D1531" s="46"/>
      <c r="E1531" s="46"/>
      <c r="F1531" s="46"/>
      <c r="G1531" s="46"/>
      <c r="H1531" s="46"/>
      <c r="I1531" s="46"/>
      <c r="J1531" s="46"/>
      <c r="K1531" s="46"/>
    </row>
    <row r="1532" spans="1:11">
      <c r="A1532" s="45"/>
      <c r="B1532" s="45"/>
      <c r="C1532" s="45"/>
      <c r="D1532" s="46"/>
      <c r="E1532" s="46"/>
      <c r="F1532" s="46"/>
      <c r="G1532" s="46"/>
      <c r="H1532" s="46"/>
      <c r="I1532" s="46"/>
      <c r="J1532" s="46"/>
      <c r="K1532" s="46"/>
    </row>
    <row r="1533" spans="1:11">
      <c r="A1533" s="45"/>
      <c r="B1533" s="45"/>
      <c r="C1533" s="45"/>
      <c r="D1533" s="46"/>
      <c r="E1533" s="46"/>
      <c r="F1533" s="46"/>
      <c r="G1533" s="46"/>
      <c r="H1533" s="46"/>
      <c r="I1533" s="46"/>
      <c r="J1533" s="46"/>
      <c r="K1533" s="46"/>
    </row>
    <row r="1534" spans="1:11">
      <c r="A1534" s="45"/>
      <c r="B1534" s="45"/>
      <c r="C1534" s="45"/>
      <c r="D1534" s="46"/>
      <c r="E1534" s="46"/>
      <c r="F1534" s="46"/>
      <c r="G1534" s="46"/>
      <c r="H1534" s="46"/>
      <c r="I1534" s="46"/>
      <c r="J1534" s="46"/>
      <c r="K1534" s="46"/>
    </row>
    <row r="1535" spans="1:11">
      <c r="A1535" s="45"/>
      <c r="B1535" s="45"/>
      <c r="C1535" s="45"/>
      <c r="D1535" s="46"/>
      <c r="E1535" s="46"/>
      <c r="F1535" s="46"/>
      <c r="G1535" s="46"/>
      <c r="H1535" s="46"/>
      <c r="I1535" s="46"/>
      <c r="J1535" s="46"/>
      <c r="K1535" s="46"/>
    </row>
    <row r="1536" spans="1:11">
      <c r="A1536" s="45"/>
      <c r="B1536" s="45"/>
      <c r="C1536" s="45"/>
      <c r="D1536" s="46"/>
      <c r="E1536" s="46"/>
      <c r="F1536" s="46"/>
      <c r="G1536" s="46"/>
      <c r="H1536" s="46"/>
      <c r="I1536" s="46"/>
      <c r="J1536" s="46"/>
      <c r="K1536" s="46"/>
    </row>
    <row r="1537" spans="1:11">
      <c r="A1537" s="45"/>
      <c r="B1537" s="45"/>
      <c r="C1537" s="45"/>
      <c r="D1537" s="46"/>
      <c r="E1537" s="46"/>
      <c r="F1537" s="46"/>
      <c r="G1537" s="46"/>
      <c r="H1537" s="46"/>
      <c r="I1537" s="46"/>
      <c r="J1537" s="46"/>
      <c r="K1537" s="46"/>
    </row>
    <row r="1538" spans="1:11">
      <c r="A1538" s="45"/>
      <c r="B1538" s="45"/>
      <c r="C1538" s="45"/>
      <c r="D1538" s="46"/>
      <c r="E1538" s="46"/>
      <c r="F1538" s="46"/>
      <c r="G1538" s="46"/>
      <c r="H1538" s="46"/>
      <c r="I1538" s="46"/>
      <c r="J1538" s="46"/>
      <c r="K1538" s="46"/>
    </row>
    <row r="1539" spans="1:11">
      <c r="A1539" s="45"/>
      <c r="B1539" s="45"/>
      <c r="C1539" s="45"/>
      <c r="D1539" s="46"/>
      <c r="E1539" s="46"/>
      <c r="F1539" s="46"/>
      <c r="G1539" s="46"/>
      <c r="H1539" s="46"/>
      <c r="I1539" s="46"/>
      <c r="J1539" s="46"/>
      <c r="K1539" s="46"/>
    </row>
    <row r="1540" spans="1:11">
      <c r="A1540" s="45"/>
      <c r="B1540" s="45"/>
      <c r="C1540" s="45"/>
      <c r="D1540" s="46"/>
      <c r="E1540" s="46"/>
      <c r="F1540" s="46"/>
      <c r="G1540" s="46"/>
      <c r="H1540" s="46"/>
      <c r="I1540" s="46"/>
      <c r="J1540" s="46"/>
      <c r="K1540" s="46"/>
    </row>
    <row r="1541" spans="1:11">
      <c r="A1541" s="45"/>
      <c r="B1541" s="45"/>
      <c r="C1541" s="45"/>
      <c r="D1541" s="46"/>
      <c r="E1541" s="46"/>
      <c r="F1541" s="46"/>
      <c r="G1541" s="46"/>
      <c r="H1541" s="46"/>
      <c r="I1541" s="46"/>
      <c r="J1541" s="46"/>
      <c r="K1541" s="46"/>
    </row>
    <row r="1542" spans="1:11">
      <c r="A1542" s="45"/>
      <c r="B1542" s="45"/>
      <c r="C1542" s="45"/>
      <c r="D1542" s="46"/>
      <c r="E1542" s="46"/>
      <c r="F1542" s="46"/>
      <c r="G1542" s="46"/>
      <c r="H1542" s="46"/>
      <c r="I1542" s="46"/>
      <c r="J1542" s="46"/>
      <c r="K1542" s="46"/>
    </row>
    <row r="1543" spans="1:11">
      <c r="A1543" s="45"/>
      <c r="B1543" s="45"/>
      <c r="C1543" s="45"/>
      <c r="D1543" s="46"/>
      <c r="E1543" s="46"/>
      <c r="F1543" s="46"/>
      <c r="G1543" s="46"/>
      <c r="H1543" s="46"/>
      <c r="I1543" s="46"/>
      <c r="J1543" s="46"/>
      <c r="K1543" s="46"/>
    </row>
    <row r="1544" spans="1:11">
      <c r="A1544" s="45"/>
      <c r="B1544" s="45"/>
      <c r="C1544" s="45"/>
      <c r="D1544" s="46"/>
      <c r="E1544" s="46"/>
      <c r="F1544" s="46"/>
      <c r="G1544" s="46"/>
      <c r="H1544" s="46"/>
      <c r="I1544" s="46"/>
      <c r="J1544" s="46"/>
      <c r="K1544" s="46"/>
    </row>
    <row r="1545" spans="1:11">
      <c r="A1545" s="45"/>
      <c r="B1545" s="45"/>
      <c r="C1545" s="45"/>
      <c r="D1545" s="46"/>
      <c r="E1545" s="46"/>
      <c r="F1545" s="46"/>
      <c r="G1545" s="46"/>
      <c r="H1545" s="46"/>
      <c r="I1545" s="46"/>
      <c r="J1545" s="46"/>
      <c r="K1545" s="46"/>
    </row>
    <row r="1546" spans="1:11">
      <c r="A1546" s="45"/>
      <c r="B1546" s="45"/>
      <c r="C1546" s="45"/>
      <c r="D1546" s="46"/>
      <c r="E1546" s="46"/>
      <c r="F1546" s="46"/>
      <c r="G1546" s="46"/>
      <c r="H1546" s="46"/>
      <c r="I1546" s="46"/>
      <c r="J1546" s="46"/>
      <c r="K1546" s="46"/>
    </row>
    <row r="1547" spans="1:11">
      <c r="A1547" s="45"/>
      <c r="B1547" s="45"/>
      <c r="C1547" s="45"/>
      <c r="D1547" s="46"/>
      <c r="E1547" s="46"/>
      <c r="F1547" s="46"/>
      <c r="G1547" s="46"/>
      <c r="H1547" s="46"/>
      <c r="I1547" s="46"/>
      <c r="J1547" s="46"/>
      <c r="K1547" s="46"/>
    </row>
    <row r="1548" spans="1:11">
      <c r="A1548" s="45"/>
      <c r="B1548" s="45"/>
      <c r="C1548" s="45"/>
      <c r="D1548" s="46"/>
      <c r="E1548" s="46"/>
      <c r="F1548" s="46"/>
      <c r="G1548" s="46"/>
      <c r="H1548" s="46"/>
      <c r="I1548" s="46"/>
      <c r="J1548" s="46"/>
      <c r="K1548" s="46"/>
    </row>
    <row r="1549" spans="1:11">
      <c r="A1549" s="45"/>
      <c r="B1549" s="45"/>
      <c r="C1549" s="45"/>
      <c r="D1549" s="46"/>
      <c r="E1549" s="46"/>
      <c r="F1549" s="46"/>
      <c r="G1549" s="46"/>
      <c r="H1549" s="46"/>
      <c r="I1549" s="46"/>
      <c r="J1549" s="46"/>
      <c r="K1549" s="46"/>
    </row>
    <row r="1550" spans="1:11">
      <c r="A1550" s="45"/>
      <c r="B1550" s="45"/>
      <c r="C1550" s="45"/>
      <c r="D1550" s="46"/>
      <c r="E1550" s="46"/>
      <c r="F1550" s="46"/>
      <c r="G1550" s="46"/>
      <c r="H1550" s="46"/>
      <c r="I1550" s="46"/>
      <c r="J1550" s="46"/>
      <c r="K1550" s="46"/>
    </row>
    <row r="1551" spans="1:11">
      <c r="A1551" s="45"/>
      <c r="B1551" s="45"/>
      <c r="C1551" s="45"/>
      <c r="D1551" s="46"/>
      <c r="E1551" s="46"/>
      <c r="F1551" s="46"/>
      <c r="G1551" s="46"/>
      <c r="H1551" s="46"/>
      <c r="I1551" s="46"/>
      <c r="J1551" s="46"/>
      <c r="K1551" s="46"/>
    </row>
    <row r="1552" spans="1:11">
      <c r="A1552" s="45"/>
      <c r="B1552" s="45"/>
      <c r="C1552" s="45"/>
      <c r="D1552" s="46"/>
      <c r="E1552" s="46"/>
      <c r="F1552" s="46"/>
      <c r="G1552" s="46"/>
      <c r="H1552" s="46"/>
      <c r="I1552" s="46"/>
      <c r="J1552" s="46"/>
      <c r="K1552" s="46"/>
    </row>
    <row r="1553" spans="1:11">
      <c r="A1553" s="45"/>
      <c r="B1553" s="45"/>
      <c r="C1553" s="45"/>
      <c r="D1553" s="46"/>
      <c r="E1553" s="46"/>
      <c r="F1553" s="46"/>
      <c r="G1553" s="46"/>
      <c r="H1553" s="46"/>
      <c r="I1553" s="46"/>
      <c r="J1553" s="46"/>
      <c r="K1553" s="46"/>
    </row>
    <row r="1554" spans="1:11">
      <c r="A1554" s="45"/>
      <c r="B1554" s="45"/>
      <c r="C1554" s="45"/>
      <c r="D1554" s="46"/>
      <c r="E1554" s="46"/>
      <c r="F1554" s="46"/>
      <c r="G1554" s="46"/>
      <c r="H1554" s="46"/>
      <c r="I1554" s="46"/>
      <c r="J1554" s="46"/>
      <c r="K1554" s="46"/>
    </row>
    <row r="1555" spans="1:11">
      <c r="A1555" s="45"/>
      <c r="B1555" s="45"/>
      <c r="C1555" s="45"/>
      <c r="D1555" s="46"/>
      <c r="E1555" s="46"/>
      <c r="F1555" s="46"/>
      <c r="G1555" s="46"/>
      <c r="H1555" s="46"/>
      <c r="I1555" s="46"/>
      <c r="J1555" s="46"/>
      <c r="K1555" s="46"/>
    </row>
    <row r="1556" spans="1:11">
      <c r="A1556" s="45"/>
      <c r="B1556" s="45"/>
      <c r="C1556" s="45"/>
      <c r="D1556" s="46"/>
      <c r="E1556" s="46"/>
      <c r="F1556" s="46"/>
      <c r="G1556" s="46"/>
      <c r="H1556" s="46"/>
      <c r="I1556" s="46"/>
      <c r="J1556" s="46"/>
      <c r="K1556" s="46"/>
    </row>
    <row r="1557" spans="1:11">
      <c r="A1557" s="45"/>
      <c r="B1557" s="45"/>
      <c r="C1557" s="45"/>
      <c r="D1557" s="46"/>
      <c r="E1557" s="46"/>
      <c r="F1557" s="46"/>
      <c r="G1557" s="46"/>
      <c r="H1557" s="46"/>
      <c r="I1557" s="46"/>
      <c r="J1557" s="46"/>
      <c r="K1557" s="46"/>
    </row>
    <row r="1558" spans="1:11">
      <c r="A1558" s="45"/>
      <c r="B1558" s="45"/>
      <c r="C1558" s="45"/>
      <c r="D1558" s="46"/>
      <c r="E1558" s="46"/>
      <c r="F1558" s="46"/>
      <c r="G1558" s="46"/>
      <c r="H1558" s="46"/>
      <c r="I1558" s="46"/>
      <c r="J1558" s="46"/>
      <c r="K1558" s="46"/>
    </row>
    <row r="1559" spans="1:11">
      <c r="A1559" s="45"/>
      <c r="B1559" s="45"/>
      <c r="C1559" s="45"/>
      <c r="D1559" s="46"/>
      <c r="E1559" s="46"/>
      <c r="F1559" s="46"/>
      <c r="G1559" s="46"/>
      <c r="H1559" s="46"/>
      <c r="I1559" s="46"/>
      <c r="J1559" s="46"/>
      <c r="K1559" s="46"/>
    </row>
    <row r="1560" spans="1:11">
      <c r="A1560" s="45"/>
      <c r="B1560" s="45"/>
      <c r="C1560" s="45"/>
      <c r="D1560" s="46"/>
      <c r="E1560" s="46"/>
      <c r="F1560" s="46"/>
      <c r="G1560" s="46"/>
      <c r="H1560" s="46"/>
      <c r="I1560" s="46"/>
      <c r="J1560" s="46"/>
      <c r="K1560" s="46"/>
    </row>
    <row r="1561" spans="1:11">
      <c r="A1561" s="45"/>
      <c r="B1561" s="45"/>
      <c r="C1561" s="45"/>
      <c r="D1561" s="46"/>
      <c r="E1561" s="46"/>
      <c r="F1561" s="46"/>
      <c r="G1561" s="46"/>
      <c r="H1561" s="46"/>
      <c r="I1561" s="46"/>
      <c r="J1561" s="46"/>
      <c r="K1561" s="46"/>
    </row>
    <row r="1562" spans="1:11">
      <c r="A1562" s="45"/>
      <c r="B1562" s="45"/>
      <c r="C1562" s="45"/>
      <c r="D1562" s="46"/>
      <c r="E1562" s="46"/>
      <c r="F1562" s="46"/>
      <c r="G1562" s="46"/>
      <c r="H1562" s="46"/>
      <c r="I1562" s="46"/>
      <c r="J1562" s="46"/>
      <c r="K1562" s="46"/>
    </row>
    <row r="1563" spans="1:11">
      <c r="A1563" s="45"/>
      <c r="B1563" s="45"/>
      <c r="C1563" s="45"/>
      <c r="D1563" s="46"/>
      <c r="E1563" s="46"/>
      <c r="F1563" s="46"/>
      <c r="G1563" s="46"/>
      <c r="H1563" s="46"/>
      <c r="I1563" s="46"/>
      <c r="J1563" s="46"/>
      <c r="K1563" s="46"/>
    </row>
    <row r="1564" spans="1:11">
      <c r="A1564" s="45"/>
      <c r="B1564" s="45"/>
      <c r="C1564" s="45"/>
      <c r="D1564" s="46"/>
      <c r="E1564" s="46"/>
      <c r="F1564" s="46"/>
      <c r="G1564" s="46"/>
      <c r="H1564" s="46"/>
      <c r="I1564" s="46"/>
      <c r="J1564" s="46"/>
      <c r="K1564" s="46"/>
    </row>
    <row r="1565" spans="1:11">
      <c r="A1565" s="45"/>
      <c r="B1565" s="45"/>
      <c r="C1565" s="45"/>
      <c r="D1565" s="46"/>
      <c r="E1565" s="46"/>
      <c r="F1565" s="46"/>
      <c r="G1565" s="46"/>
      <c r="H1565" s="46"/>
      <c r="I1565" s="46"/>
      <c r="J1565" s="46"/>
      <c r="K1565" s="46"/>
    </row>
    <row r="1566" spans="1:11">
      <c r="A1566" s="45"/>
      <c r="B1566" s="45"/>
      <c r="C1566" s="45"/>
      <c r="D1566" s="46"/>
      <c r="E1566" s="46"/>
      <c r="F1566" s="46"/>
      <c r="G1566" s="46"/>
      <c r="H1566" s="46"/>
      <c r="I1566" s="46"/>
      <c r="J1566" s="46"/>
      <c r="K1566" s="46"/>
    </row>
    <row r="1567" spans="1:11">
      <c r="A1567" s="45"/>
      <c r="B1567" s="45"/>
      <c r="C1567" s="45"/>
      <c r="D1567" s="46"/>
      <c r="E1567" s="46"/>
      <c r="F1567" s="46"/>
      <c r="G1567" s="46"/>
      <c r="H1567" s="46"/>
      <c r="I1567" s="46"/>
      <c r="J1567" s="46"/>
      <c r="K1567" s="46"/>
    </row>
    <row r="1568" spans="1:11">
      <c r="A1568" s="45"/>
      <c r="B1568" s="45"/>
      <c r="C1568" s="45"/>
      <c r="D1568" s="46"/>
      <c r="E1568" s="46"/>
      <c r="F1568" s="46"/>
      <c r="G1568" s="46"/>
      <c r="H1568" s="46"/>
      <c r="I1568" s="46"/>
      <c r="J1568" s="46"/>
      <c r="K1568" s="46"/>
    </row>
    <row r="1569" spans="1:11">
      <c r="A1569" s="45"/>
      <c r="B1569" s="45"/>
      <c r="C1569" s="45"/>
      <c r="D1569" s="46"/>
      <c r="E1569" s="46"/>
      <c r="F1569" s="46"/>
      <c r="G1569" s="46"/>
      <c r="H1569" s="46"/>
      <c r="I1569" s="46"/>
      <c r="J1569" s="46"/>
      <c r="K1569" s="46"/>
    </row>
    <row r="1570" spans="1:11">
      <c r="A1570" s="45"/>
      <c r="B1570" s="45"/>
      <c r="C1570" s="45"/>
      <c r="D1570" s="46"/>
      <c r="E1570" s="46"/>
      <c r="F1570" s="46"/>
      <c r="G1570" s="46"/>
      <c r="H1570" s="46"/>
      <c r="I1570" s="46"/>
      <c r="J1570" s="46"/>
      <c r="K1570" s="46"/>
    </row>
    <row r="1571" spans="1:11">
      <c r="A1571" s="45"/>
      <c r="B1571" s="45"/>
      <c r="C1571" s="45"/>
      <c r="D1571" s="46"/>
      <c r="E1571" s="46"/>
      <c r="F1571" s="46"/>
      <c r="G1571" s="46"/>
      <c r="H1571" s="46"/>
      <c r="I1571" s="46"/>
      <c r="J1571" s="46"/>
      <c r="K1571" s="46"/>
    </row>
    <row r="1572" spans="1:11">
      <c r="A1572" s="45"/>
      <c r="B1572" s="45"/>
      <c r="C1572" s="45"/>
      <c r="D1572" s="46"/>
      <c r="E1572" s="46"/>
      <c r="F1572" s="46"/>
      <c r="G1572" s="46"/>
      <c r="H1572" s="46"/>
      <c r="I1572" s="46"/>
      <c r="J1572" s="46"/>
      <c r="K1572" s="46"/>
    </row>
    <row r="1573" spans="1:11">
      <c r="A1573" s="45"/>
      <c r="B1573" s="45"/>
      <c r="C1573" s="45"/>
      <c r="D1573" s="46"/>
      <c r="E1573" s="46"/>
      <c r="F1573" s="46"/>
      <c r="G1573" s="46"/>
      <c r="H1573" s="46"/>
      <c r="I1573" s="46"/>
      <c r="J1573" s="46"/>
      <c r="K1573" s="46"/>
    </row>
    <row r="1574" spans="1:11">
      <c r="A1574" s="45"/>
      <c r="B1574" s="45"/>
      <c r="C1574" s="45"/>
      <c r="D1574" s="46"/>
      <c r="E1574" s="46"/>
      <c r="F1574" s="46"/>
      <c r="G1574" s="46"/>
      <c r="H1574" s="46"/>
      <c r="I1574" s="46"/>
      <c r="J1574" s="46"/>
      <c r="K1574" s="46"/>
    </row>
    <row r="1575" spans="1:11">
      <c r="A1575" s="45"/>
      <c r="B1575" s="45"/>
      <c r="C1575" s="45"/>
      <c r="D1575" s="46"/>
      <c r="E1575" s="46"/>
      <c r="F1575" s="46"/>
      <c r="G1575" s="46"/>
      <c r="H1575" s="46"/>
      <c r="I1575" s="46"/>
      <c r="J1575" s="46"/>
      <c r="K1575" s="46"/>
    </row>
    <row r="1576" spans="1:11">
      <c r="A1576" s="45"/>
      <c r="B1576" s="45"/>
      <c r="C1576" s="45"/>
      <c r="D1576" s="46"/>
      <c r="E1576" s="46"/>
      <c r="F1576" s="46"/>
      <c r="G1576" s="46"/>
      <c r="H1576" s="46"/>
      <c r="I1576" s="46"/>
      <c r="J1576" s="46"/>
      <c r="K1576" s="46"/>
    </row>
    <row r="1577" spans="1:11">
      <c r="A1577" s="45"/>
      <c r="B1577" s="45"/>
      <c r="C1577" s="45"/>
      <c r="D1577" s="46"/>
      <c r="E1577" s="46"/>
      <c r="F1577" s="46"/>
      <c r="G1577" s="46"/>
      <c r="H1577" s="46"/>
      <c r="I1577" s="46"/>
      <c r="J1577" s="46"/>
      <c r="K1577" s="46"/>
    </row>
    <row r="1578" spans="1:11">
      <c r="A1578" s="45"/>
      <c r="B1578" s="45"/>
      <c r="C1578" s="45"/>
      <c r="D1578" s="46"/>
      <c r="E1578" s="46"/>
      <c r="F1578" s="46"/>
      <c r="G1578" s="46"/>
      <c r="H1578" s="46"/>
      <c r="I1578" s="46"/>
      <c r="J1578" s="46"/>
      <c r="K1578" s="46"/>
    </row>
    <row r="1579" spans="1:11">
      <c r="A1579" s="45"/>
      <c r="B1579" s="45"/>
      <c r="C1579" s="45"/>
      <c r="D1579" s="46"/>
      <c r="E1579" s="46"/>
      <c r="F1579" s="46"/>
      <c r="G1579" s="46"/>
      <c r="H1579" s="46"/>
      <c r="I1579" s="46"/>
      <c r="J1579" s="46"/>
      <c r="K1579" s="46"/>
    </row>
    <row r="1580" spans="1:11">
      <c r="A1580" s="45"/>
      <c r="B1580" s="45"/>
      <c r="C1580" s="45"/>
      <c r="D1580" s="46"/>
      <c r="E1580" s="46"/>
      <c r="F1580" s="46"/>
      <c r="G1580" s="46"/>
      <c r="H1580" s="46"/>
      <c r="I1580" s="46"/>
      <c r="J1580" s="46"/>
      <c r="K1580" s="46"/>
    </row>
    <row r="1581" spans="1:11">
      <c r="A1581" s="45"/>
      <c r="B1581" s="45"/>
      <c r="C1581" s="45"/>
      <c r="D1581" s="46"/>
      <c r="E1581" s="46"/>
      <c r="F1581" s="46"/>
      <c r="G1581" s="46"/>
      <c r="H1581" s="46"/>
      <c r="I1581" s="46"/>
      <c r="J1581" s="46"/>
      <c r="K1581" s="46"/>
    </row>
    <row r="1582" spans="1:11">
      <c r="A1582" s="45"/>
      <c r="B1582" s="45"/>
      <c r="C1582" s="45"/>
      <c r="D1582" s="46"/>
      <c r="E1582" s="46"/>
      <c r="F1582" s="46"/>
      <c r="G1582" s="46"/>
      <c r="H1582" s="46"/>
      <c r="I1582" s="46"/>
      <c r="J1582" s="46"/>
      <c r="K1582" s="46"/>
    </row>
    <row r="1583" spans="1:11">
      <c r="A1583" s="45"/>
      <c r="B1583" s="45"/>
      <c r="C1583" s="45"/>
      <c r="D1583" s="46"/>
      <c r="E1583" s="46"/>
      <c r="F1583" s="46"/>
      <c r="G1583" s="46"/>
      <c r="H1583" s="46"/>
      <c r="I1583" s="46"/>
      <c r="J1583" s="46"/>
      <c r="K1583" s="46"/>
    </row>
    <row r="1584" spans="1:11">
      <c r="A1584" s="45"/>
      <c r="B1584" s="45"/>
      <c r="C1584" s="45"/>
      <c r="D1584" s="46"/>
      <c r="E1584" s="46"/>
      <c r="F1584" s="46"/>
      <c r="G1584" s="46"/>
      <c r="H1584" s="46"/>
      <c r="I1584" s="46"/>
      <c r="J1584" s="46"/>
      <c r="K1584" s="46"/>
    </row>
    <row r="1585" spans="1:11">
      <c r="A1585" s="45"/>
      <c r="B1585" s="45"/>
      <c r="C1585" s="45"/>
      <c r="D1585" s="46"/>
      <c r="E1585" s="46"/>
      <c r="F1585" s="46"/>
      <c r="G1585" s="46"/>
      <c r="H1585" s="46"/>
      <c r="I1585" s="46"/>
      <c r="J1585" s="46"/>
      <c r="K1585" s="46"/>
    </row>
    <row r="1586" spans="1:11">
      <c r="A1586" s="45"/>
      <c r="B1586" s="45"/>
      <c r="C1586" s="45"/>
      <c r="D1586" s="46"/>
      <c r="E1586" s="46"/>
      <c r="F1586" s="46"/>
      <c r="G1586" s="46"/>
      <c r="H1586" s="46"/>
      <c r="I1586" s="46"/>
      <c r="J1586" s="46"/>
      <c r="K1586" s="46"/>
    </row>
    <row r="1587" spans="1:11">
      <c r="A1587" s="45"/>
      <c r="B1587" s="45"/>
      <c r="C1587" s="45"/>
      <c r="D1587" s="46"/>
      <c r="E1587" s="46"/>
      <c r="F1587" s="46"/>
      <c r="G1587" s="46"/>
      <c r="H1587" s="46"/>
      <c r="I1587" s="46"/>
      <c r="J1587" s="46"/>
      <c r="K1587" s="46"/>
    </row>
    <row r="1588" spans="1:11">
      <c r="A1588" s="45"/>
      <c r="B1588" s="45"/>
      <c r="C1588" s="45"/>
      <c r="D1588" s="46"/>
      <c r="E1588" s="46"/>
      <c r="F1588" s="46"/>
      <c r="G1588" s="46"/>
      <c r="H1588" s="46"/>
      <c r="I1588" s="46"/>
      <c r="J1588" s="46"/>
      <c r="K1588" s="46"/>
    </row>
    <row r="1589" spans="1:11">
      <c r="A1589" s="45"/>
      <c r="B1589" s="45"/>
      <c r="C1589" s="45"/>
      <c r="D1589" s="46"/>
      <c r="E1589" s="46"/>
      <c r="F1589" s="46"/>
      <c r="G1589" s="46"/>
      <c r="H1589" s="46"/>
      <c r="I1589" s="46"/>
      <c r="J1589" s="46"/>
      <c r="K1589" s="46"/>
    </row>
    <row r="1590" spans="1:11">
      <c r="A1590" s="45"/>
      <c r="B1590" s="45"/>
      <c r="C1590" s="45"/>
      <c r="D1590" s="46"/>
      <c r="E1590" s="46"/>
      <c r="F1590" s="46"/>
      <c r="G1590" s="46"/>
      <c r="H1590" s="46"/>
      <c r="I1590" s="46"/>
      <c r="J1590" s="46"/>
      <c r="K1590" s="46"/>
    </row>
    <row r="1591" spans="1:11">
      <c r="A1591" s="45"/>
      <c r="B1591" s="45"/>
      <c r="C1591" s="45"/>
      <c r="D1591" s="46"/>
      <c r="E1591" s="46"/>
      <c r="F1591" s="46"/>
      <c r="G1591" s="46"/>
      <c r="H1591" s="46"/>
      <c r="I1591" s="46"/>
      <c r="J1591" s="46"/>
      <c r="K1591" s="46"/>
    </row>
    <row r="1592" spans="1:11">
      <c r="A1592" s="45"/>
      <c r="B1592" s="45"/>
      <c r="C1592" s="45"/>
      <c r="D1592" s="46"/>
      <c r="E1592" s="46"/>
      <c r="F1592" s="46"/>
      <c r="G1592" s="46"/>
      <c r="H1592" s="46"/>
      <c r="I1592" s="46"/>
      <c r="J1592" s="46"/>
      <c r="K1592" s="46"/>
    </row>
    <row r="1593" spans="1:11">
      <c r="A1593" s="45"/>
      <c r="B1593" s="45"/>
      <c r="C1593" s="45"/>
      <c r="D1593" s="46"/>
      <c r="E1593" s="46"/>
      <c r="F1593" s="46"/>
      <c r="G1593" s="46"/>
      <c r="H1593" s="46"/>
      <c r="I1593" s="46"/>
      <c r="J1593" s="46"/>
      <c r="K1593" s="46"/>
    </row>
    <row r="1594" spans="1:11">
      <c r="A1594" s="45"/>
      <c r="B1594" s="45"/>
      <c r="C1594" s="45"/>
      <c r="D1594" s="46"/>
      <c r="E1594" s="46"/>
      <c r="F1594" s="46"/>
      <c r="G1594" s="46"/>
      <c r="H1594" s="46"/>
      <c r="I1594" s="46"/>
      <c r="J1594" s="46"/>
      <c r="K1594" s="46"/>
    </row>
    <row r="1595" spans="1:11">
      <c r="A1595" s="45"/>
      <c r="B1595" s="45"/>
      <c r="C1595" s="45"/>
      <c r="D1595" s="46"/>
      <c r="E1595" s="46"/>
      <c r="F1595" s="46"/>
      <c r="G1595" s="46"/>
      <c r="H1595" s="46"/>
      <c r="I1595" s="46"/>
      <c r="J1595" s="46"/>
      <c r="K1595" s="46"/>
    </row>
    <row r="1596" spans="1:11">
      <c r="A1596" s="45"/>
      <c r="B1596" s="45"/>
      <c r="C1596" s="45"/>
      <c r="D1596" s="46"/>
      <c r="E1596" s="46"/>
      <c r="F1596" s="46"/>
      <c r="G1596" s="46"/>
      <c r="H1596" s="46"/>
      <c r="I1596" s="46"/>
      <c r="J1596" s="46"/>
      <c r="K1596" s="46"/>
    </row>
    <row r="1597" spans="1:11">
      <c r="A1597" s="45"/>
      <c r="B1597" s="45"/>
      <c r="C1597" s="45"/>
      <c r="D1597" s="46"/>
      <c r="E1597" s="46"/>
      <c r="F1597" s="46"/>
      <c r="G1597" s="46"/>
      <c r="H1597" s="46"/>
      <c r="I1597" s="46"/>
      <c r="J1597" s="46"/>
      <c r="K1597" s="46"/>
    </row>
    <row r="1598" spans="1:11">
      <c r="A1598" s="45"/>
      <c r="B1598" s="45"/>
      <c r="C1598" s="45"/>
      <c r="D1598" s="46"/>
      <c r="E1598" s="46"/>
      <c r="F1598" s="46"/>
      <c r="G1598" s="46"/>
      <c r="H1598" s="46"/>
      <c r="I1598" s="46"/>
      <c r="J1598" s="46"/>
      <c r="K1598" s="46"/>
    </row>
    <row r="1599" spans="1:11">
      <c r="A1599" s="45"/>
      <c r="B1599" s="45"/>
      <c r="C1599" s="45"/>
      <c r="D1599" s="46"/>
      <c r="E1599" s="46"/>
      <c r="F1599" s="46"/>
      <c r="G1599" s="46"/>
      <c r="H1599" s="46"/>
      <c r="I1599" s="46"/>
      <c r="J1599" s="46"/>
      <c r="K1599" s="46"/>
    </row>
    <row r="1600" spans="1:11">
      <c r="A1600" s="45"/>
      <c r="B1600" s="45"/>
      <c r="C1600" s="45"/>
      <c r="D1600" s="46"/>
      <c r="E1600" s="46"/>
      <c r="F1600" s="46"/>
      <c r="G1600" s="46"/>
      <c r="H1600" s="46"/>
      <c r="I1600" s="46"/>
      <c r="J1600" s="46"/>
      <c r="K1600" s="46"/>
    </row>
    <row r="1601" spans="1:11">
      <c r="A1601" s="45"/>
      <c r="B1601" s="45"/>
      <c r="C1601" s="45"/>
      <c r="D1601" s="46"/>
      <c r="E1601" s="46"/>
      <c r="F1601" s="46"/>
      <c r="G1601" s="46"/>
      <c r="H1601" s="46"/>
      <c r="I1601" s="46"/>
      <c r="J1601" s="46"/>
      <c r="K1601" s="46"/>
    </row>
    <row r="1602" spans="1:11">
      <c r="A1602" s="45"/>
      <c r="B1602" s="45"/>
      <c r="C1602" s="45"/>
      <c r="D1602" s="46"/>
      <c r="E1602" s="46"/>
      <c r="F1602" s="46"/>
      <c r="G1602" s="46"/>
      <c r="H1602" s="46"/>
      <c r="I1602" s="46"/>
      <c r="J1602" s="46"/>
      <c r="K1602" s="46"/>
    </row>
    <row r="1603" spans="1:11">
      <c r="A1603" s="45"/>
      <c r="B1603" s="45"/>
      <c r="C1603" s="45"/>
      <c r="D1603" s="46"/>
      <c r="E1603" s="46"/>
      <c r="F1603" s="46"/>
      <c r="G1603" s="46"/>
      <c r="H1603" s="46"/>
      <c r="I1603" s="46"/>
      <c r="J1603" s="46"/>
      <c r="K1603" s="46"/>
    </row>
    <row r="1604" spans="1:11">
      <c r="A1604" s="45"/>
      <c r="B1604" s="45"/>
      <c r="C1604" s="45"/>
      <c r="D1604" s="46"/>
      <c r="E1604" s="46"/>
      <c r="F1604" s="46"/>
      <c r="G1604" s="46"/>
      <c r="H1604" s="46"/>
      <c r="I1604" s="46"/>
      <c r="J1604" s="46"/>
      <c r="K1604" s="46"/>
    </row>
    <row r="1605" spans="1:11">
      <c r="A1605" s="45"/>
      <c r="B1605" s="45"/>
      <c r="C1605" s="45"/>
      <c r="D1605" s="46"/>
      <c r="E1605" s="46"/>
      <c r="F1605" s="46"/>
      <c r="G1605" s="46"/>
      <c r="H1605" s="46"/>
      <c r="I1605" s="46"/>
      <c r="J1605" s="46"/>
      <c r="K1605" s="46"/>
    </row>
    <row r="1606" spans="1:11">
      <c r="A1606" s="45"/>
      <c r="B1606" s="45"/>
      <c r="C1606" s="45"/>
      <c r="D1606" s="46"/>
      <c r="E1606" s="46"/>
      <c r="F1606" s="46"/>
      <c r="G1606" s="46"/>
      <c r="H1606" s="46"/>
      <c r="I1606" s="46"/>
      <c r="J1606" s="46"/>
      <c r="K1606" s="46"/>
    </row>
    <row r="1607" spans="1:11">
      <c r="A1607" s="45"/>
      <c r="B1607" s="45"/>
      <c r="C1607" s="45"/>
      <c r="D1607" s="46"/>
      <c r="E1607" s="46"/>
      <c r="F1607" s="46"/>
      <c r="G1607" s="46"/>
      <c r="H1607" s="46"/>
      <c r="I1607" s="46"/>
      <c r="J1607" s="46"/>
      <c r="K1607" s="46"/>
    </row>
    <row r="1608" spans="1:11">
      <c r="A1608" s="45"/>
      <c r="B1608" s="45"/>
      <c r="C1608" s="45"/>
      <c r="D1608" s="46"/>
      <c r="E1608" s="46"/>
      <c r="F1608" s="46"/>
      <c r="G1608" s="46"/>
      <c r="H1608" s="46"/>
      <c r="I1608" s="46"/>
      <c r="J1608" s="46"/>
      <c r="K1608" s="46"/>
    </row>
    <row r="1609" spans="1:11">
      <c r="A1609" s="45"/>
      <c r="B1609" s="45"/>
      <c r="C1609" s="45"/>
      <c r="D1609" s="46"/>
      <c r="E1609" s="46"/>
      <c r="F1609" s="46"/>
      <c r="G1609" s="46"/>
      <c r="H1609" s="46"/>
      <c r="I1609" s="46"/>
      <c r="J1609" s="46"/>
      <c r="K1609" s="46"/>
    </row>
    <row r="1610" spans="1:11">
      <c r="A1610" s="45"/>
      <c r="B1610" s="45"/>
      <c r="C1610" s="45"/>
      <c r="D1610" s="46"/>
      <c r="E1610" s="46"/>
      <c r="F1610" s="46"/>
      <c r="G1610" s="46"/>
      <c r="H1610" s="46"/>
      <c r="I1610" s="46"/>
      <c r="J1610" s="46"/>
      <c r="K1610" s="46"/>
    </row>
    <row r="1611" spans="1:11">
      <c r="A1611" s="45"/>
      <c r="B1611" s="45"/>
      <c r="C1611" s="45"/>
      <c r="D1611" s="46"/>
      <c r="E1611" s="46"/>
      <c r="F1611" s="46"/>
      <c r="G1611" s="46"/>
      <c r="H1611" s="46"/>
      <c r="I1611" s="46"/>
      <c r="J1611" s="46"/>
      <c r="K1611" s="46"/>
    </row>
    <row r="1612" spans="1:11">
      <c r="A1612" s="45"/>
      <c r="B1612" s="45"/>
      <c r="C1612" s="45"/>
      <c r="D1612" s="46"/>
      <c r="E1612" s="46"/>
      <c r="F1612" s="46"/>
      <c r="G1612" s="46"/>
      <c r="H1612" s="46"/>
      <c r="I1612" s="46"/>
      <c r="J1612" s="46"/>
      <c r="K1612" s="46"/>
    </row>
    <row r="1613" spans="1:11">
      <c r="A1613" s="45"/>
      <c r="B1613" s="45"/>
      <c r="C1613" s="45"/>
      <c r="D1613" s="46"/>
      <c r="E1613" s="46"/>
      <c r="F1613" s="46"/>
      <c r="G1613" s="46"/>
      <c r="H1613" s="46"/>
      <c r="I1613" s="46"/>
      <c r="J1613" s="46"/>
      <c r="K1613" s="46"/>
    </row>
    <row r="1614" spans="1:11">
      <c r="A1614" s="45"/>
      <c r="B1614" s="45"/>
      <c r="C1614" s="45"/>
      <c r="D1614" s="46"/>
      <c r="E1614" s="46"/>
      <c r="F1614" s="46"/>
      <c r="G1614" s="46"/>
      <c r="H1614" s="46"/>
      <c r="I1614" s="46"/>
      <c r="J1614" s="46"/>
      <c r="K1614" s="46"/>
    </row>
    <row r="1615" spans="1:11">
      <c r="A1615" s="45"/>
      <c r="B1615" s="45"/>
      <c r="C1615" s="45"/>
      <c r="D1615" s="46"/>
      <c r="E1615" s="46"/>
      <c r="F1615" s="46"/>
      <c r="G1615" s="46"/>
      <c r="H1615" s="46"/>
      <c r="I1615" s="46"/>
      <c r="J1615" s="46"/>
      <c r="K1615" s="46"/>
    </row>
    <row r="1616" spans="1:11">
      <c r="A1616" s="45"/>
      <c r="B1616" s="45"/>
      <c r="C1616" s="45"/>
      <c r="D1616" s="46"/>
      <c r="E1616" s="46"/>
      <c r="F1616" s="46"/>
      <c r="G1616" s="46"/>
      <c r="H1616" s="46"/>
      <c r="I1616" s="46"/>
      <c r="J1616" s="46"/>
      <c r="K1616" s="46"/>
    </row>
    <row r="1617" spans="1:11">
      <c r="A1617" s="45"/>
      <c r="B1617" s="45"/>
      <c r="C1617" s="45"/>
      <c r="D1617" s="46"/>
      <c r="E1617" s="46"/>
      <c r="F1617" s="46"/>
      <c r="G1617" s="46"/>
      <c r="H1617" s="46"/>
      <c r="I1617" s="46"/>
      <c r="J1617" s="46"/>
      <c r="K1617" s="46"/>
    </row>
    <row r="1618" spans="1:11">
      <c r="A1618" s="45"/>
      <c r="B1618" s="45"/>
      <c r="C1618" s="45"/>
      <c r="D1618" s="46"/>
      <c r="E1618" s="46"/>
      <c r="F1618" s="46"/>
      <c r="G1618" s="46"/>
      <c r="H1618" s="46"/>
      <c r="I1618" s="46"/>
      <c r="J1618" s="46"/>
      <c r="K1618" s="46"/>
    </row>
    <row r="1619" spans="1:11">
      <c r="A1619" s="45"/>
      <c r="B1619" s="45"/>
      <c r="C1619" s="45"/>
      <c r="D1619" s="46"/>
      <c r="E1619" s="46"/>
      <c r="F1619" s="46"/>
      <c r="G1619" s="46"/>
      <c r="H1619" s="46"/>
      <c r="I1619" s="46"/>
      <c r="J1619" s="46"/>
      <c r="K1619" s="46"/>
    </row>
    <row r="1620" spans="1:11">
      <c r="A1620" s="45"/>
      <c r="B1620" s="45"/>
      <c r="C1620" s="45"/>
      <c r="D1620" s="46"/>
      <c r="E1620" s="46"/>
      <c r="F1620" s="46"/>
      <c r="G1620" s="46"/>
      <c r="H1620" s="46"/>
      <c r="I1620" s="46"/>
      <c r="J1620" s="46"/>
      <c r="K1620" s="46"/>
    </row>
    <row r="1621" spans="1:11">
      <c r="A1621" s="45"/>
      <c r="B1621" s="45"/>
      <c r="C1621" s="45"/>
      <c r="D1621" s="46"/>
      <c r="E1621" s="46"/>
      <c r="F1621" s="46"/>
      <c r="G1621" s="46"/>
      <c r="H1621" s="46"/>
      <c r="I1621" s="46"/>
      <c r="J1621" s="46"/>
      <c r="K1621" s="46"/>
    </row>
    <row r="1622" spans="1:11">
      <c r="A1622" s="45"/>
      <c r="B1622" s="45"/>
      <c r="C1622" s="45"/>
      <c r="D1622" s="46"/>
      <c r="E1622" s="46"/>
      <c r="F1622" s="46"/>
      <c r="G1622" s="46"/>
      <c r="H1622" s="46"/>
      <c r="I1622" s="46"/>
      <c r="J1622" s="46"/>
      <c r="K1622" s="46"/>
    </row>
    <row r="1623" spans="1:11">
      <c r="A1623" s="45"/>
      <c r="B1623" s="45"/>
      <c r="C1623" s="45"/>
      <c r="D1623" s="46"/>
      <c r="E1623" s="46"/>
      <c r="F1623" s="46"/>
      <c r="G1623" s="46"/>
      <c r="H1623" s="46"/>
      <c r="I1623" s="46"/>
      <c r="J1623" s="46"/>
      <c r="K1623" s="46"/>
    </row>
    <row r="1624" spans="1:11">
      <c r="A1624" s="45"/>
      <c r="B1624" s="45"/>
      <c r="C1624" s="45"/>
      <c r="D1624" s="46"/>
      <c r="E1624" s="46"/>
      <c r="F1624" s="46"/>
      <c r="G1624" s="46"/>
      <c r="H1624" s="46"/>
      <c r="I1624" s="46"/>
      <c r="J1624" s="46"/>
      <c r="K1624" s="46"/>
    </row>
    <row r="1625" spans="1:11">
      <c r="A1625" s="45"/>
      <c r="B1625" s="45"/>
      <c r="C1625" s="45"/>
      <c r="D1625" s="46"/>
      <c r="E1625" s="46"/>
      <c r="F1625" s="46"/>
      <c r="G1625" s="46"/>
      <c r="H1625" s="46"/>
      <c r="I1625" s="46"/>
      <c r="J1625" s="46"/>
      <c r="K1625" s="46"/>
    </row>
    <row r="1626" spans="1:11">
      <c r="A1626" s="45"/>
      <c r="B1626" s="45"/>
      <c r="C1626" s="45"/>
      <c r="D1626" s="46"/>
      <c r="E1626" s="46"/>
      <c r="F1626" s="46"/>
      <c r="G1626" s="46"/>
      <c r="H1626" s="46"/>
      <c r="I1626" s="46"/>
      <c r="J1626" s="46"/>
      <c r="K1626" s="46"/>
    </row>
    <row r="1627" spans="1:11">
      <c r="A1627" s="45"/>
      <c r="B1627" s="45"/>
      <c r="C1627" s="45"/>
      <c r="D1627" s="46"/>
      <c r="E1627" s="46"/>
      <c r="F1627" s="46"/>
      <c r="G1627" s="46"/>
      <c r="H1627" s="46"/>
      <c r="I1627" s="46"/>
      <c r="J1627" s="46"/>
      <c r="K1627" s="46"/>
    </row>
    <row r="1628" spans="1:11">
      <c r="A1628" s="45"/>
      <c r="B1628" s="45"/>
      <c r="C1628" s="45"/>
      <c r="D1628" s="46"/>
      <c r="E1628" s="46"/>
      <c r="F1628" s="46"/>
      <c r="G1628" s="46"/>
      <c r="H1628" s="46"/>
      <c r="I1628" s="46"/>
      <c r="J1628" s="46"/>
      <c r="K1628" s="46"/>
    </row>
    <row r="1629" spans="1:11">
      <c r="A1629" s="45"/>
      <c r="B1629" s="45"/>
      <c r="C1629" s="45"/>
      <c r="D1629" s="46"/>
      <c r="E1629" s="46"/>
      <c r="F1629" s="46"/>
      <c r="G1629" s="46"/>
      <c r="H1629" s="46"/>
      <c r="I1629" s="46"/>
      <c r="J1629" s="46"/>
      <c r="K1629" s="46"/>
    </row>
    <row r="1630" spans="1:11">
      <c r="A1630" s="45"/>
      <c r="B1630" s="45"/>
      <c r="C1630" s="45"/>
      <c r="D1630" s="46"/>
      <c r="E1630" s="46"/>
      <c r="F1630" s="46"/>
      <c r="G1630" s="46"/>
      <c r="H1630" s="46"/>
      <c r="I1630" s="46"/>
      <c r="J1630" s="46"/>
      <c r="K1630" s="46"/>
    </row>
    <row r="1631" spans="1:11">
      <c r="A1631" s="45"/>
      <c r="B1631" s="45"/>
      <c r="C1631" s="45"/>
      <c r="D1631" s="46"/>
      <c r="E1631" s="46"/>
      <c r="F1631" s="46"/>
      <c r="G1631" s="46"/>
      <c r="H1631" s="46"/>
      <c r="I1631" s="46"/>
      <c r="J1631" s="46"/>
      <c r="K1631" s="46"/>
    </row>
    <row r="1632" spans="1:11">
      <c r="A1632" s="45"/>
      <c r="B1632" s="45"/>
      <c r="C1632" s="45"/>
      <c r="D1632" s="46"/>
      <c r="E1632" s="46"/>
      <c r="F1632" s="46"/>
      <c r="G1632" s="46"/>
      <c r="H1632" s="46"/>
      <c r="I1632" s="46"/>
      <c r="J1632" s="46"/>
      <c r="K1632" s="46"/>
    </row>
    <row r="1633" spans="1:11">
      <c r="A1633" s="45"/>
      <c r="B1633" s="45"/>
      <c r="C1633" s="45"/>
      <c r="D1633" s="46"/>
      <c r="E1633" s="46"/>
      <c r="F1633" s="46"/>
      <c r="G1633" s="46"/>
      <c r="H1633" s="46"/>
      <c r="I1633" s="46"/>
      <c r="J1633" s="46"/>
      <c r="K1633" s="46"/>
    </row>
    <row r="1634" spans="1:11">
      <c r="A1634" s="45"/>
      <c r="B1634" s="45"/>
      <c r="C1634" s="45"/>
      <c r="D1634" s="46"/>
      <c r="E1634" s="46"/>
      <c r="F1634" s="46"/>
      <c r="G1634" s="46"/>
      <c r="H1634" s="46"/>
      <c r="I1634" s="46"/>
      <c r="J1634" s="46"/>
      <c r="K1634" s="46"/>
    </row>
    <row r="1635" spans="1:11">
      <c r="A1635" s="45"/>
      <c r="B1635" s="45"/>
      <c r="C1635" s="45"/>
      <c r="D1635" s="46"/>
      <c r="E1635" s="46"/>
      <c r="F1635" s="46"/>
      <c r="G1635" s="46"/>
      <c r="H1635" s="46"/>
      <c r="I1635" s="46"/>
      <c r="J1635" s="46"/>
      <c r="K1635" s="46"/>
    </row>
    <row r="1636" spans="1:11">
      <c r="A1636" s="45"/>
      <c r="B1636" s="45"/>
      <c r="C1636" s="45"/>
      <c r="D1636" s="46"/>
      <c r="E1636" s="46"/>
      <c r="F1636" s="46"/>
      <c r="G1636" s="46"/>
      <c r="H1636" s="46"/>
      <c r="I1636" s="46"/>
      <c r="J1636" s="46"/>
      <c r="K1636" s="46"/>
    </row>
    <row r="1637" spans="1:11">
      <c r="A1637" s="45"/>
      <c r="B1637" s="45"/>
      <c r="C1637" s="45"/>
      <c r="D1637" s="46"/>
      <c r="E1637" s="46"/>
      <c r="F1637" s="46"/>
      <c r="G1637" s="46"/>
      <c r="H1637" s="46"/>
      <c r="I1637" s="46"/>
      <c r="J1637" s="46"/>
      <c r="K1637" s="46"/>
    </row>
    <row r="1638" spans="1:11">
      <c r="A1638" s="45"/>
      <c r="B1638" s="45"/>
      <c r="C1638" s="45"/>
      <c r="D1638" s="46"/>
      <c r="E1638" s="46"/>
      <c r="F1638" s="46"/>
      <c r="G1638" s="46"/>
      <c r="H1638" s="46"/>
      <c r="I1638" s="46"/>
      <c r="J1638" s="46"/>
      <c r="K1638" s="46"/>
    </row>
    <row r="1639" spans="1:11">
      <c r="A1639" s="45"/>
      <c r="B1639" s="45"/>
      <c r="C1639" s="45"/>
      <c r="D1639" s="46"/>
      <c r="E1639" s="46"/>
      <c r="F1639" s="46"/>
      <c r="G1639" s="46"/>
      <c r="H1639" s="46"/>
      <c r="I1639" s="46"/>
      <c r="J1639" s="46"/>
      <c r="K1639" s="46"/>
    </row>
    <row r="1640" spans="1:11">
      <c r="A1640" s="45"/>
      <c r="B1640" s="45"/>
      <c r="C1640" s="45"/>
      <c r="D1640" s="46"/>
      <c r="E1640" s="46"/>
      <c r="F1640" s="46"/>
      <c r="G1640" s="46"/>
      <c r="H1640" s="46"/>
      <c r="I1640" s="46"/>
      <c r="J1640" s="46"/>
      <c r="K1640" s="46"/>
    </row>
    <row r="1641" spans="1:11">
      <c r="A1641" s="45"/>
      <c r="B1641" s="45"/>
      <c r="C1641" s="45"/>
      <c r="D1641" s="46"/>
      <c r="E1641" s="46"/>
      <c r="F1641" s="46"/>
      <c r="G1641" s="46"/>
      <c r="H1641" s="46"/>
      <c r="I1641" s="46"/>
      <c r="J1641" s="46"/>
      <c r="K1641" s="46"/>
    </row>
    <row r="1642" spans="1:11">
      <c r="A1642" s="45"/>
      <c r="B1642" s="45"/>
      <c r="C1642" s="45"/>
      <c r="D1642" s="46"/>
      <c r="E1642" s="46"/>
      <c r="F1642" s="46"/>
      <c r="G1642" s="46"/>
      <c r="H1642" s="46"/>
      <c r="I1642" s="46"/>
      <c r="J1642" s="46"/>
      <c r="K1642" s="46"/>
    </row>
    <row r="1643" spans="1:11">
      <c r="A1643" s="45"/>
      <c r="B1643" s="45"/>
      <c r="C1643" s="45"/>
      <c r="D1643" s="46"/>
      <c r="E1643" s="46"/>
      <c r="F1643" s="46"/>
      <c r="G1643" s="46"/>
      <c r="H1643" s="46"/>
      <c r="I1643" s="46"/>
      <c r="J1643" s="46"/>
      <c r="K1643" s="46"/>
    </row>
    <row r="1644" spans="1:11">
      <c r="A1644" s="45"/>
      <c r="B1644" s="45"/>
      <c r="C1644" s="45"/>
      <c r="D1644" s="46"/>
      <c r="E1644" s="46"/>
      <c r="F1644" s="46"/>
      <c r="G1644" s="46"/>
      <c r="H1644" s="46"/>
      <c r="I1644" s="46"/>
      <c r="J1644" s="46"/>
      <c r="K1644" s="46"/>
    </row>
    <row r="1645" spans="1:11">
      <c r="A1645" s="45"/>
      <c r="B1645" s="45"/>
      <c r="C1645" s="45"/>
      <c r="D1645" s="46"/>
      <c r="E1645" s="46"/>
      <c r="F1645" s="46"/>
      <c r="G1645" s="46"/>
      <c r="H1645" s="46"/>
      <c r="I1645" s="46"/>
      <c r="J1645" s="46"/>
      <c r="K1645" s="46"/>
    </row>
    <row r="1646" spans="1:11">
      <c r="A1646" s="45"/>
      <c r="B1646" s="45"/>
      <c r="C1646" s="45"/>
      <c r="D1646" s="46"/>
      <c r="E1646" s="46"/>
      <c r="F1646" s="46"/>
      <c r="G1646" s="46"/>
      <c r="H1646" s="46"/>
      <c r="I1646" s="46"/>
      <c r="J1646" s="46"/>
      <c r="K1646" s="46"/>
    </row>
    <row r="1647" spans="1:11">
      <c r="A1647" s="45"/>
      <c r="B1647" s="45"/>
      <c r="C1647" s="45"/>
      <c r="D1647" s="46"/>
      <c r="E1647" s="46"/>
      <c r="F1647" s="46"/>
      <c r="G1647" s="46"/>
      <c r="H1647" s="46"/>
      <c r="I1647" s="46"/>
      <c r="J1647" s="46"/>
      <c r="K1647" s="46"/>
    </row>
    <row r="1648" spans="1:11">
      <c r="A1648" s="45"/>
      <c r="B1648" s="45"/>
      <c r="C1648" s="45"/>
      <c r="D1648" s="46"/>
      <c r="E1648" s="46"/>
      <c r="F1648" s="46"/>
      <c r="G1648" s="46"/>
      <c r="H1648" s="46"/>
      <c r="I1648" s="46"/>
      <c r="J1648" s="46"/>
      <c r="K1648" s="46"/>
    </row>
    <row r="1649" spans="1:11">
      <c r="A1649" s="45"/>
      <c r="B1649" s="45"/>
      <c r="C1649" s="45"/>
      <c r="D1649" s="46"/>
      <c r="E1649" s="46"/>
      <c r="F1649" s="46"/>
      <c r="G1649" s="46"/>
      <c r="H1649" s="46"/>
      <c r="I1649" s="46"/>
      <c r="J1649" s="46"/>
      <c r="K1649" s="46"/>
    </row>
    <row r="1650" spans="1:11">
      <c r="A1650" s="45"/>
      <c r="B1650" s="45"/>
      <c r="C1650" s="45"/>
      <c r="D1650" s="46"/>
      <c r="E1650" s="46"/>
      <c r="F1650" s="46"/>
      <c r="G1650" s="46"/>
      <c r="H1650" s="46"/>
      <c r="I1650" s="46"/>
      <c r="J1650" s="46"/>
      <c r="K1650" s="46"/>
    </row>
    <row r="1651" spans="1:11">
      <c r="A1651" s="45"/>
      <c r="B1651" s="45"/>
      <c r="C1651" s="45"/>
      <c r="D1651" s="46"/>
      <c r="E1651" s="46"/>
      <c r="F1651" s="46"/>
      <c r="G1651" s="46"/>
      <c r="H1651" s="46"/>
      <c r="I1651" s="46"/>
      <c r="J1651" s="46"/>
      <c r="K1651" s="46"/>
    </row>
    <row r="1652" spans="1:11">
      <c r="A1652" s="45"/>
      <c r="B1652" s="45"/>
      <c r="C1652" s="45"/>
      <c r="D1652" s="46"/>
      <c r="E1652" s="46"/>
      <c r="F1652" s="46"/>
      <c r="G1652" s="46"/>
      <c r="H1652" s="46"/>
      <c r="I1652" s="46"/>
      <c r="J1652" s="46"/>
      <c r="K1652" s="46"/>
    </row>
    <row r="1653" spans="1:11">
      <c r="A1653" s="45"/>
      <c r="B1653" s="45"/>
      <c r="C1653" s="45"/>
      <c r="D1653" s="46"/>
      <c r="E1653" s="46"/>
      <c r="F1653" s="46"/>
      <c r="G1653" s="46"/>
      <c r="H1653" s="46"/>
      <c r="I1653" s="46"/>
      <c r="J1653" s="46"/>
      <c r="K1653" s="46"/>
    </row>
    <row r="1654" spans="1:11">
      <c r="A1654" s="45"/>
      <c r="B1654" s="45"/>
      <c r="C1654" s="45"/>
      <c r="D1654" s="46"/>
      <c r="E1654" s="46"/>
      <c r="F1654" s="46"/>
      <c r="G1654" s="46"/>
      <c r="H1654" s="46"/>
      <c r="I1654" s="46"/>
      <c r="J1654" s="46"/>
      <c r="K1654" s="46"/>
    </row>
    <row r="1655" spans="1:11">
      <c r="A1655" s="45"/>
      <c r="B1655" s="45"/>
      <c r="C1655" s="45"/>
      <c r="D1655" s="46"/>
      <c r="E1655" s="46"/>
      <c r="F1655" s="46"/>
      <c r="G1655" s="46"/>
      <c r="H1655" s="46"/>
      <c r="I1655" s="46"/>
      <c r="J1655" s="46"/>
      <c r="K1655" s="46"/>
    </row>
    <row r="1656" spans="1:11">
      <c r="A1656" s="45"/>
      <c r="B1656" s="45"/>
      <c r="C1656" s="45"/>
      <c r="D1656" s="46"/>
      <c r="E1656" s="46"/>
      <c r="F1656" s="46"/>
      <c r="G1656" s="46"/>
      <c r="H1656" s="46"/>
      <c r="I1656" s="46"/>
      <c r="J1656" s="46"/>
      <c r="K1656" s="46"/>
    </row>
    <row r="1657" spans="1:11">
      <c r="A1657" s="45"/>
      <c r="B1657" s="45"/>
      <c r="C1657" s="45"/>
      <c r="D1657" s="46"/>
      <c r="E1657" s="46"/>
      <c r="F1657" s="46"/>
      <c r="G1657" s="46"/>
      <c r="H1657" s="46"/>
      <c r="I1657" s="46"/>
      <c r="J1657" s="46"/>
      <c r="K1657" s="46"/>
    </row>
    <row r="1658" spans="1:11">
      <c r="A1658" s="45"/>
      <c r="B1658" s="45"/>
      <c r="C1658" s="45"/>
      <c r="D1658" s="46"/>
      <c r="E1658" s="46"/>
      <c r="F1658" s="46"/>
      <c r="G1658" s="46"/>
      <c r="H1658" s="46"/>
      <c r="I1658" s="46"/>
      <c r="J1658" s="46"/>
      <c r="K1658" s="46"/>
    </row>
    <row r="1659" spans="1:11">
      <c r="A1659" s="45"/>
      <c r="B1659" s="45"/>
      <c r="C1659" s="45"/>
      <c r="D1659" s="46"/>
      <c r="E1659" s="46"/>
      <c r="F1659" s="46"/>
      <c r="G1659" s="46"/>
      <c r="H1659" s="46"/>
      <c r="I1659" s="46"/>
      <c r="J1659" s="46"/>
      <c r="K1659" s="46"/>
    </row>
    <row r="1660" spans="1:11">
      <c r="A1660" s="45"/>
      <c r="B1660" s="45"/>
      <c r="C1660" s="45"/>
      <c r="D1660" s="46"/>
      <c r="E1660" s="46"/>
      <c r="F1660" s="46"/>
      <c r="G1660" s="46"/>
      <c r="H1660" s="46"/>
      <c r="I1660" s="46"/>
      <c r="J1660" s="46"/>
      <c r="K1660" s="46"/>
    </row>
    <row r="1661" spans="1:11">
      <c r="A1661" s="45"/>
      <c r="B1661" s="45"/>
      <c r="C1661" s="45"/>
      <c r="D1661" s="46"/>
      <c r="E1661" s="46"/>
      <c r="F1661" s="46"/>
      <c r="G1661" s="46"/>
      <c r="H1661" s="46"/>
      <c r="I1661" s="46"/>
      <c r="J1661" s="46"/>
      <c r="K1661" s="46"/>
    </row>
    <row r="1662" spans="1:11">
      <c r="A1662" s="45"/>
      <c r="B1662" s="45"/>
      <c r="C1662" s="45"/>
      <c r="D1662" s="46"/>
      <c r="E1662" s="46"/>
      <c r="F1662" s="46"/>
      <c r="G1662" s="46"/>
      <c r="H1662" s="46"/>
      <c r="I1662" s="46"/>
      <c r="J1662" s="46"/>
      <c r="K1662" s="46"/>
    </row>
    <row r="1663" spans="1:11">
      <c r="A1663" s="45"/>
      <c r="B1663" s="45"/>
      <c r="C1663" s="45"/>
      <c r="D1663" s="46"/>
      <c r="E1663" s="46"/>
      <c r="F1663" s="46"/>
      <c r="G1663" s="46"/>
      <c r="H1663" s="46"/>
      <c r="I1663" s="46"/>
      <c r="J1663" s="46"/>
      <c r="K1663" s="46"/>
    </row>
    <row r="1664" spans="1:11">
      <c r="A1664" s="45"/>
      <c r="B1664" s="45"/>
      <c r="C1664" s="45"/>
      <c r="D1664" s="46"/>
      <c r="E1664" s="46"/>
      <c r="F1664" s="46"/>
      <c r="G1664" s="46"/>
      <c r="H1664" s="46"/>
      <c r="I1664" s="46"/>
      <c r="J1664" s="46"/>
      <c r="K1664" s="46"/>
    </row>
    <row r="1665" spans="1:11">
      <c r="A1665" s="45"/>
      <c r="B1665" s="45"/>
      <c r="C1665" s="45"/>
      <c r="D1665" s="46"/>
      <c r="E1665" s="46"/>
      <c r="F1665" s="46"/>
      <c r="G1665" s="46"/>
      <c r="H1665" s="46"/>
      <c r="I1665" s="46"/>
      <c r="J1665" s="46"/>
      <c r="K1665" s="46"/>
    </row>
    <row r="1666" spans="1:11">
      <c r="A1666" s="45"/>
      <c r="B1666" s="45"/>
      <c r="C1666" s="45"/>
      <c r="D1666" s="46"/>
      <c r="E1666" s="46"/>
      <c r="F1666" s="46"/>
      <c r="G1666" s="46"/>
      <c r="H1666" s="46"/>
      <c r="I1666" s="46"/>
      <c r="J1666" s="46"/>
      <c r="K1666" s="46"/>
    </row>
    <row r="1667" spans="1:11">
      <c r="A1667" s="45"/>
      <c r="B1667" s="45"/>
      <c r="C1667" s="45"/>
      <c r="D1667" s="46"/>
      <c r="E1667" s="46"/>
      <c r="F1667" s="46"/>
      <c r="G1667" s="46"/>
      <c r="H1667" s="46"/>
      <c r="I1667" s="46"/>
      <c r="J1667" s="46"/>
      <c r="K1667" s="46"/>
    </row>
    <row r="1668" spans="1:11">
      <c r="A1668" s="45"/>
      <c r="B1668" s="45"/>
      <c r="C1668" s="45"/>
      <c r="D1668" s="46"/>
      <c r="E1668" s="46"/>
      <c r="F1668" s="46"/>
      <c r="G1668" s="46"/>
      <c r="H1668" s="46"/>
      <c r="I1668" s="46"/>
      <c r="J1668" s="46"/>
      <c r="K1668" s="46"/>
    </row>
    <row r="1669" spans="1:11">
      <c r="A1669" s="45"/>
      <c r="B1669" s="45"/>
      <c r="C1669" s="45"/>
      <c r="D1669" s="46"/>
      <c r="E1669" s="46"/>
      <c r="F1669" s="46"/>
      <c r="G1669" s="46"/>
      <c r="H1669" s="46"/>
      <c r="I1669" s="46"/>
      <c r="J1669" s="46"/>
      <c r="K1669" s="46"/>
    </row>
    <row r="1670" spans="1:11">
      <c r="A1670" s="45"/>
      <c r="B1670" s="45"/>
      <c r="C1670" s="45"/>
      <c r="D1670" s="46"/>
      <c r="E1670" s="46"/>
      <c r="F1670" s="46"/>
      <c r="G1670" s="46"/>
      <c r="H1670" s="46"/>
      <c r="I1670" s="46"/>
      <c r="J1670" s="46"/>
      <c r="K1670" s="46"/>
    </row>
    <row r="1671" spans="1:11">
      <c r="A1671" s="45"/>
      <c r="B1671" s="45"/>
      <c r="C1671" s="45"/>
      <c r="D1671" s="46"/>
      <c r="E1671" s="46"/>
      <c r="F1671" s="46"/>
      <c r="G1671" s="46"/>
      <c r="H1671" s="46"/>
      <c r="I1671" s="46"/>
      <c r="J1671" s="46"/>
      <c r="K1671" s="46"/>
    </row>
    <row r="1672" spans="1:11">
      <c r="A1672" s="45"/>
      <c r="B1672" s="45"/>
      <c r="C1672" s="45"/>
      <c r="D1672" s="46"/>
      <c r="E1672" s="46"/>
      <c r="F1672" s="46"/>
      <c r="G1672" s="46"/>
      <c r="H1672" s="46"/>
      <c r="I1672" s="46"/>
      <c r="J1672" s="46"/>
      <c r="K1672" s="46"/>
    </row>
    <row r="1673" spans="1:11">
      <c r="A1673" s="45"/>
      <c r="B1673" s="45"/>
      <c r="C1673" s="45"/>
      <c r="D1673" s="46"/>
      <c r="E1673" s="46"/>
      <c r="F1673" s="46"/>
      <c r="G1673" s="46"/>
      <c r="H1673" s="46"/>
      <c r="I1673" s="46"/>
      <c r="J1673" s="46"/>
      <c r="K1673" s="46"/>
    </row>
    <row r="1674" spans="1:11">
      <c r="A1674" s="45"/>
      <c r="B1674" s="45"/>
      <c r="C1674" s="45"/>
      <c r="D1674" s="46"/>
      <c r="E1674" s="46"/>
      <c r="F1674" s="46"/>
      <c r="G1674" s="46"/>
      <c r="H1674" s="46"/>
      <c r="I1674" s="46"/>
      <c r="J1674" s="46"/>
      <c r="K1674" s="46"/>
    </row>
    <row r="1675" spans="1:11">
      <c r="A1675" s="45"/>
      <c r="B1675" s="45"/>
      <c r="C1675" s="45"/>
      <c r="D1675" s="46"/>
      <c r="E1675" s="46"/>
      <c r="F1675" s="46"/>
      <c r="G1675" s="46"/>
      <c r="H1675" s="46"/>
      <c r="I1675" s="46"/>
      <c r="J1675" s="46"/>
      <c r="K1675" s="46"/>
    </row>
    <row r="1676" spans="1:11">
      <c r="A1676" s="45"/>
      <c r="B1676" s="45"/>
      <c r="C1676" s="45"/>
      <c r="D1676" s="46"/>
      <c r="E1676" s="46"/>
      <c r="F1676" s="46"/>
      <c r="G1676" s="46"/>
      <c r="H1676" s="46"/>
      <c r="I1676" s="46"/>
      <c r="J1676" s="46"/>
      <c r="K1676" s="46"/>
    </row>
    <row r="1677" spans="1:11">
      <c r="A1677" s="45"/>
      <c r="B1677" s="45"/>
      <c r="C1677" s="45"/>
      <c r="D1677" s="46"/>
      <c r="E1677" s="46"/>
      <c r="F1677" s="46"/>
      <c r="G1677" s="46"/>
      <c r="H1677" s="46"/>
      <c r="I1677" s="46"/>
      <c r="J1677" s="46"/>
      <c r="K1677" s="46"/>
    </row>
    <row r="1678" spans="1:11">
      <c r="A1678" s="45"/>
      <c r="B1678" s="45"/>
      <c r="C1678" s="45"/>
      <c r="D1678" s="46"/>
      <c r="E1678" s="46"/>
      <c r="F1678" s="46"/>
      <c r="G1678" s="46"/>
      <c r="H1678" s="46"/>
      <c r="I1678" s="46"/>
      <c r="J1678" s="46"/>
      <c r="K1678" s="46"/>
    </row>
    <row r="1679" spans="1:11">
      <c r="A1679" s="45"/>
      <c r="B1679" s="45"/>
      <c r="C1679" s="45"/>
      <c r="D1679" s="46"/>
      <c r="E1679" s="46"/>
      <c r="F1679" s="46"/>
      <c r="G1679" s="46"/>
      <c r="H1679" s="46"/>
      <c r="I1679" s="46"/>
      <c r="J1679" s="46"/>
      <c r="K1679" s="46"/>
    </row>
    <row r="1680" spans="1:11">
      <c r="A1680" s="45"/>
      <c r="B1680" s="45"/>
      <c r="C1680" s="45"/>
      <c r="D1680" s="46"/>
      <c r="E1680" s="46"/>
      <c r="F1680" s="46"/>
      <c r="G1680" s="46"/>
      <c r="H1680" s="46"/>
      <c r="I1680" s="46"/>
      <c r="J1680" s="46"/>
      <c r="K1680" s="46"/>
    </row>
    <row r="1681" spans="1:11">
      <c r="A1681" s="45"/>
      <c r="B1681" s="45"/>
      <c r="C1681" s="45"/>
      <c r="D1681" s="46"/>
      <c r="E1681" s="46"/>
      <c r="F1681" s="46"/>
      <c r="G1681" s="46"/>
      <c r="H1681" s="46"/>
      <c r="I1681" s="46"/>
      <c r="J1681" s="46"/>
      <c r="K1681" s="46"/>
    </row>
    <row r="1682" spans="1:11">
      <c r="A1682" s="45"/>
      <c r="B1682" s="45"/>
      <c r="C1682" s="45"/>
      <c r="D1682" s="46"/>
      <c r="E1682" s="46"/>
      <c r="F1682" s="46"/>
      <c r="G1682" s="46"/>
      <c r="H1682" s="46"/>
      <c r="I1682" s="46"/>
      <c r="J1682" s="46"/>
      <c r="K1682" s="46"/>
    </row>
    <row r="1683" spans="1:11">
      <c r="A1683" s="45"/>
      <c r="B1683" s="45"/>
      <c r="C1683" s="45"/>
      <c r="D1683" s="46"/>
      <c r="E1683" s="46"/>
      <c r="F1683" s="46"/>
      <c r="G1683" s="46"/>
      <c r="H1683" s="46"/>
      <c r="I1683" s="46"/>
      <c r="J1683" s="46"/>
      <c r="K1683" s="46"/>
    </row>
    <row r="1684" spans="1:11">
      <c r="A1684" s="45"/>
      <c r="B1684" s="45"/>
      <c r="C1684" s="45"/>
      <c r="D1684" s="46"/>
      <c r="E1684" s="46"/>
      <c r="F1684" s="46"/>
      <c r="G1684" s="46"/>
      <c r="H1684" s="46"/>
      <c r="I1684" s="46"/>
      <c r="J1684" s="46"/>
      <c r="K1684" s="46"/>
    </row>
    <row r="1685" spans="1:11">
      <c r="A1685" s="45"/>
      <c r="B1685" s="45"/>
      <c r="C1685" s="45"/>
      <c r="D1685" s="46"/>
      <c r="E1685" s="46"/>
      <c r="F1685" s="46"/>
      <c r="G1685" s="46"/>
      <c r="H1685" s="46"/>
      <c r="I1685" s="46"/>
      <c r="J1685" s="46"/>
      <c r="K1685" s="46"/>
    </row>
    <row r="1686" spans="1:11">
      <c r="A1686" s="45"/>
      <c r="B1686" s="45"/>
      <c r="C1686" s="45"/>
      <c r="D1686" s="46"/>
      <c r="E1686" s="46"/>
      <c r="F1686" s="46"/>
      <c r="G1686" s="46"/>
      <c r="H1686" s="46"/>
      <c r="I1686" s="46"/>
      <c r="J1686" s="46"/>
      <c r="K1686" s="46"/>
    </row>
    <row r="1687" spans="1:11">
      <c r="A1687" s="45"/>
      <c r="B1687" s="45"/>
      <c r="C1687" s="45"/>
      <c r="D1687" s="46"/>
      <c r="E1687" s="46"/>
      <c r="F1687" s="46"/>
      <c r="G1687" s="46"/>
      <c r="H1687" s="46"/>
      <c r="I1687" s="46"/>
      <c r="J1687" s="46"/>
      <c r="K1687" s="46"/>
    </row>
    <row r="1688" spans="1:11">
      <c r="A1688" s="45"/>
      <c r="B1688" s="45"/>
      <c r="C1688" s="45"/>
      <c r="D1688" s="46"/>
      <c r="E1688" s="46"/>
      <c r="F1688" s="46"/>
      <c r="G1688" s="46"/>
      <c r="H1688" s="46"/>
      <c r="I1688" s="46"/>
      <c r="J1688" s="46"/>
      <c r="K1688" s="46"/>
    </row>
    <row r="1689" spans="1:11">
      <c r="A1689" s="45"/>
      <c r="B1689" s="45"/>
      <c r="C1689" s="45"/>
      <c r="D1689" s="46"/>
      <c r="E1689" s="46"/>
      <c r="F1689" s="46"/>
      <c r="G1689" s="46"/>
      <c r="H1689" s="46"/>
      <c r="I1689" s="46"/>
      <c r="J1689" s="46"/>
      <c r="K1689" s="46"/>
    </row>
    <row r="1690" spans="1:11">
      <c r="A1690" s="45"/>
      <c r="B1690" s="45"/>
      <c r="C1690" s="45"/>
      <c r="D1690" s="46"/>
      <c r="E1690" s="46"/>
      <c r="F1690" s="46"/>
      <c r="G1690" s="46"/>
      <c r="H1690" s="46"/>
      <c r="I1690" s="46"/>
      <c r="J1690" s="46"/>
      <c r="K1690" s="46"/>
    </row>
    <row r="1691" spans="1:11">
      <c r="A1691" s="45"/>
      <c r="B1691" s="45"/>
      <c r="C1691" s="45"/>
      <c r="D1691" s="46"/>
      <c r="E1691" s="46"/>
      <c r="F1691" s="46"/>
      <c r="G1691" s="46"/>
      <c r="H1691" s="46"/>
      <c r="I1691" s="46"/>
      <c r="J1691" s="46"/>
      <c r="K1691" s="46"/>
    </row>
    <row r="1692" spans="1:11">
      <c r="A1692" s="45"/>
      <c r="B1692" s="45"/>
      <c r="C1692" s="45"/>
      <c r="D1692" s="46"/>
      <c r="E1692" s="46"/>
      <c r="F1692" s="46"/>
      <c r="G1692" s="46"/>
      <c r="H1692" s="46"/>
      <c r="I1692" s="46"/>
      <c r="J1692" s="46"/>
      <c r="K1692" s="46"/>
    </row>
    <row r="1693" spans="1:11">
      <c r="A1693" s="45"/>
      <c r="B1693" s="45"/>
      <c r="C1693" s="45"/>
      <c r="D1693" s="46"/>
      <c r="E1693" s="46"/>
      <c r="F1693" s="46"/>
      <c r="G1693" s="46"/>
      <c r="H1693" s="46"/>
      <c r="I1693" s="46"/>
      <c r="J1693" s="46"/>
      <c r="K1693" s="46"/>
    </row>
    <row r="1694" spans="1:11">
      <c r="A1694" s="45"/>
      <c r="B1694" s="45"/>
      <c r="C1694" s="45"/>
      <c r="D1694" s="46"/>
      <c r="E1694" s="46"/>
      <c r="F1694" s="46"/>
      <c r="G1694" s="46"/>
      <c r="H1694" s="46"/>
      <c r="I1694" s="46"/>
      <c r="J1694" s="46"/>
      <c r="K1694" s="46"/>
    </row>
    <row r="1695" spans="1:11">
      <c r="A1695" s="45"/>
      <c r="B1695" s="45"/>
      <c r="C1695" s="45"/>
      <c r="D1695" s="46"/>
      <c r="E1695" s="46"/>
      <c r="F1695" s="46"/>
      <c r="G1695" s="46"/>
      <c r="H1695" s="46"/>
      <c r="I1695" s="46"/>
      <c r="J1695" s="46"/>
      <c r="K1695" s="46"/>
    </row>
    <row r="1696" spans="1:11">
      <c r="A1696" s="45"/>
      <c r="B1696" s="45"/>
      <c r="C1696" s="45"/>
      <c r="D1696" s="46"/>
      <c r="E1696" s="46"/>
      <c r="F1696" s="46"/>
      <c r="G1696" s="46"/>
      <c r="H1696" s="46"/>
      <c r="I1696" s="46"/>
      <c r="J1696" s="46"/>
      <c r="K1696" s="46"/>
    </row>
    <row r="1697" spans="1:11">
      <c r="A1697" s="45"/>
      <c r="B1697" s="45"/>
      <c r="C1697" s="45"/>
      <c r="D1697" s="46"/>
      <c r="E1697" s="46"/>
      <c r="F1697" s="46"/>
      <c r="G1697" s="46"/>
      <c r="H1697" s="46"/>
      <c r="I1697" s="46"/>
      <c r="J1697" s="46"/>
      <c r="K1697" s="46"/>
    </row>
    <row r="1698" spans="1:11">
      <c r="A1698" s="45"/>
      <c r="B1698" s="45"/>
      <c r="C1698" s="45"/>
      <c r="D1698" s="46"/>
      <c r="E1698" s="46"/>
      <c r="F1698" s="46"/>
      <c r="G1698" s="46"/>
      <c r="H1698" s="46"/>
      <c r="I1698" s="46"/>
      <c r="J1698" s="46"/>
      <c r="K1698" s="46"/>
    </row>
    <row r="1699" spans="1:11">
      <c r="A1699" s="45"/>
      <c r="B1699" s="45"/>
      <c r="C1699" s="45"/>
      <c r="D1699" s="46"/>
      <c r="E1699" s="46"/>
      <c r="F1699" s="46"/>
      <c r="G1699" s="46"/>
      <c r="H1699" s="46"/>
      <c r="I1699" s="46"/>
      <c r="J1699" s="46"/>
      <c r="K1699" s="46"/>
    </row>
    <row r="1700" spans="1:11">
      <c r="A1700" s="45"/>
      <c r="B1700" s="45"/>
      <c r="C1700" s="45"/>
      <c r="D1700" s="46"/>
      <c r="E1700" s="46"/>
      <c r="F1700" s="46"/>
      <c r="G1700" s="46"/>
      <c r="H1700" s="46"/>
      <c r="I1700" s="46"/>
      <c r="J1700" s="46"/>
      <c r="K1700" s="46"/>
    </row>
    <row r="1701" spans="1:11">
      <c r="A1701" s="45"/>
      <c r="B1701" s="45"/>
      <c r="C1701" s="45"/>
      <c r="D1701" s="46"/>
      <c r="E1701" s="46"/>
      <c r="F1701" s="46"/>
      <c r="G1701" s="46"/>
      <c r="H1701" s="46"/>
      <c r="I1701" s="46"/>
      <c r="J1701" s="46"/>
      <c r="K1701" s="46"/>
    </row>
    <row r="1702" spans="1:11">
      <c r="A1702" s="45"/>
      <c r="B1702" s="45"/>
      <c r="C1702" s="45"/>
      <c r="D1702" s="46"/>
      <c r="E1702" s="46"/>
      <c r="F1702" s="46"/>
      <c r="G1702" s="46"/>
      <c r="H1702" s="46"/>
      <c r="I1702" s="46"/>
      <c r="J1702" s="46"/>
      <c r="K1702" s="46"/>
    </row>
    <row r="1703" spans="1:11">
      <c r="A1703" s="45"/>
      <c r="B1703" s="45"/>
      <c r="C1703" s="45"/>
      <c r="D1703" s="46"/>
      <c r="E1703" s="46"/>
      <c r="F1703" s="46"/>
      <c r="G1703" s="46"/>
      <c r="H1703" s="46"/>
      <c r="I1703" s="46"/>
      <c r="J1703" s="46"/>
      <c r="K1703" s="46"/>
    </row>
    <row r="1704" spans="1:11">
      <c r="A1704" s="45"/>
      <c r="B1704" s="45"/>
      <c r="C1704" s="45"/>
      <c r="D1704" s="46"/>
      <c r="E1704" s="46"/>
      <c r="F1704" s="46"/>
      <c r="G1704" s="46"/>
      <c r="H1704" s="46"/>
      <c r="I1704" s="46"/>
      <c r="J1704" s="46"/>
      <c r="K1704" s="46"/>
    </row>
    <row r="1705" spans="1:11">
      <c r="A1705" s="45"/>
      <c r="B1705" s="45"/>
      <c r="C1705" s="45"/>
      <c r="D1705" s="46"/>
      <c r="E1705" s="46"/>
      <c r="F1705" s="46"/>
      <c r="G1705" s="46"/>
      <c r="H1705" s="46"/>
      <c r="I1705" s="46"/>
      <c r="J1705" s="46"/>
      <c r="K1705" s="46"/>
    </row>
    <row r="1706" spans="1:11">
      <c r="A1706" s="45"/>
      <c r="B1706" s="45"/>
      <c r="C1706" s="45"/>
      <c r="D1706" s="46"/>
      <c r="E1706" s="46"/>
      <c r="F1706" s="46"/>
      <c r="G1706" s="46"/>
      <c r="H1706" s="46"/>
      <c r="I1706" s="46"/>
      <c r="J1706" s="46"/>
      <c r="K1706" s="46"/>
    </row>
    <row r="1707" spans="1:11">
      <c r="A1707" s="45"/>
      <c r="B1707" s="45"/>
      <c r="C1707" s="45"/>
      <c r="D1707" s="46"/>
      <c r="E1707" s="46"/>
      <c r="F1707" s="46"/>
      <c r="G1707" s="46"/>
      <c r="H1707" s="46"/>
      <c r="I1707" s="46"/>
      <c r="J1707" s="46"/>
      <c r="K1707" s="46"/>
    </row>
    <row r="1708" spans="1:11">
      <c r="A1708" s="45"/>
      <c r="B1708" s="45"/>
      <c r="C1708" s="45"/>
      <c r="D1708" s="46"/>
      <c r="E1708" s="46"/>
      <c r="F1708" s="46"/>
      <c r="G1708" s="46"/>
      <c r="H1708" s="46"/>
      <c r="I1708" s="46"/>
      <c r="J1708" s="46"/>
      <c r="K1708" s="46"/>
    </row>
    <row r="1709" spans="1:11">
      <c r="A1709" s="45"/>
      <c r="B1709" s="45"/>
      <c r="C1709" s="45"/>
      <c r="D1709" s="46"/>
      <c r="E1709" s="46"/>
      <c r="F1709" s="46"/>
      <c r="G1709" s="46"/>
      <c r="H1709" s="46"/>
      <c r="I1709" s="46"/>
      <c r="J1709" s="46"/>
      <c r="K1709" s="46"/>
    </row>
    <row r="1710" spans="1:11">
      <c r="A1710" s="45"/>
      <c r="B1710" s="45"/>
      <c r="C1710" s="45"/>
      <c r="D1710" s="46"/>
      <c r="E1710" s="46"/>
      <c r="F1710" s="46"/>
      <c r="G1710" s="46"/>
      <c r="H1710" s="46"/>
      <c r="I1710" s="46"/>
      <c r="J1710" s="46"/>
      <c r="K1710" s="46"/>
    </row>
    <row r="1711" spans="1:11">
      <c r="A1711" s="45"/>
      <c r="B1711" s="45"/>
      <c r="C1711" s="45"/>
      <c r="D1711" s="46"/>
      <c r="E1711" s="46"/>
      <c r="F1711" s="46"/>
      <c r="G1711" s="46"/>
      <c r="H1711" s="46"/>
      <c r="I1711" s="46"/>
      <c r="J1711" s="46"/>
      <c r="K1711" s="46"/>
    </row>
    <row r="1712" spans="1:11">
      <c r="A1712" s="45"/>
      <c r="B1712" s="45"/>
      <c r="C1712" s="45"/>
      <c r="D1712" s="46"/>
      <c r="E1712" s="46"/>
      <c r="F1712" s="46"/>
      <c r="G1712" s="46"/>
      <c r="H1712" s="46"/>
      <c r="I1712" s="46"/>
      <c r="J1712" s="46"/>
      <c r="K1712" s="46"/>
    </row>
    <row r="1713" spans="1:11">
      <c r="A1713" s="45"/>
      <c r="B1713" s="45"/>
      <c r="C1713" s="45"/>
      <c r="D1713" s="46"/>
      <c r="E1713" s="46"/>
      <c r="F1713" s="46"/>
      <c r="G1713" s="46"/>
      <c r="H1713" s="46"/>
      <c r="I1713" s="46"/>
      <c r="J1713" s="46"/>
      <c r="K1713" s="46"/>
    </row>
    <row r="1714" spans="1:11">
      <c r="A1714" s="45"/>
      <c r="B1714" s="45"/>
      <c r="C1714" s="45"/>
      <c r="D1714" s="46"/>
      <c r="E1714" s="46"/>
      <c r="F1714" s="46"/>
      <c r="G1714" s="46"/>
      <c r="H1714" s="46"/>
      <c r="I1714" s="46"/>
      <c r="J1714" s="46"/>
      <c r="K1714" s="46"/>
    </row>
    <row r="1715" spans="1:11">
      <c r="A1715" s="45"/>
      <c r="B1715" s="45"/>
      <c r="C1715" s="45"/>
      <c r="D1715" s="46"/>
      <c r="E1715" s="46"/>
      <c r="F1715" s="46"/>
      <c r="G1715" s="46"/>
      <c r="H1715" s="46"/>
      <c r="I1715" s="46"/>
      <c r="J1715" s="46"/>
      <c r="K1715" s="46"/>
    </row>
    <row r="1716" spans="1:11">
      <c r="A1716" s="45"/>
      <c r="B1716" s="45"/>
      <c r="C1716" s="45"/>
      <c r="D1716" s="46"/>
      <c r="E1716" s="46"/>
      <c r="F1716" s="46"/>
      <c r="G1716" s="46"/>
      <c r="H1716" s="46"/>
      <c r="I1716" s="46"/>
      <c r="J1716" s="46"/>
      <c r="K1716" s="46"/>
    </row>
    <row r="1717" spans="1:11">
      <c r="A1717" s="45"/>
      <c r="B1717" s="45"/>
      <c r="C1717" s="45"/>
      <c r="D1717" s="46"/>
      <c r="E1717" s="46"/>
      <c r="F1717" s="46"/>
      <c r="G1717" s="46"/>
      <c r="H1717" s="46"/>
      <c r="I1717" s="46"/>
      <c r="J1717" s="46"/>
      <c r="K1717" s="46"/>
    </row>
    <row r="1718" spans="1:11">
      <c r="A1718" s="45"/>
      <c r="B1718" s="45"/>
      <c r="C1718" s="45"/>
      <c r="D1718" s="46"/>
      <c r="E1718" s="46"/>
      <c r="F1718" s="46"/>
      <c r="G1718" s="46"/>
      <c r="H1718" s="46"/>
      <c r="I1718" s="46"/>
      <c r="J1718" s="46"/>
      <c r="K1718" s="46"/>
    </row>
    <row r="1719" spans="1:11">
      <c r="A1719" s="45"/>
      <c r="B1719" s="45"/>
      <c r="C1719" s="45"/>
      <c r="D1719" s="46"/>
      <c r="E1719" s="46"/>
      <c r="F1719" s="46"/>
      <c r="G1719" s="46"/>
      <c r="H1719" s="46"/>
      <c r="I1719" s="46"/>
      <c r="J1719" s="46"/>
      <c r="K1719" s="46"/>
    </row>
    <row r="1720" spans="1:11">
      <c r="A1720" s="45"/>
      <c r="B1720" s="45"/>
      <c r="C1720" s="45"/>
      <c r="D1720" s="46"/>
      <c r="E1720" s="46"/>
      <c r="F1720" s="46"/>
      <c r="G1720" s="46"/>
      <c r="H1720" s="46"/>
      <c r="I1720" s="46"/>
      <c r="J1720" s="46"/>
      <c r="K1720" s="46"/>
    </row>
    <row r="1721" spans="1:11">
      <c r="A1721" s="45"/>
      <c r="B1721" s="45"/>
      <c r="C1721" s="45"/>
      <c r="D1721" s="46"/>
      <c r="E1721" s="46"/>
      <c r="F1721" s="46"/>
      <c r="G1721" s="46"/>
      <c r="H1721" s="46"/>
      <c r="I1721" s="46"/>
      <c r="J1721" s="46"/>
      <c r="K1721" s="46"/>
    </row>
    <row r="1722" spans="1:11">
      <c r="A1722" s="45"/>
      <c r="B1722" s="45"/>
      <c r="C1722" s="45"/>
      <c r="D1722" s="46"/>
      <c r="E1722" s="46"/>
      <c r="F1722" s="46"/>
      <c r="G1722" s="46"/>
      <c r="H1722" s="46"/>
      <c r="I1722" s="46"/>
      <c r="J1722" s="46"/>
      <c r="K1722" s="46"/>
    </row>
    <row r="1723" spans="1:11">
      <c r="A1723" s="45"/>
      <c r="B1723" s="45"/>
      <c r="C1723" s="45"/>
      <c r="D1723" s="46"/>
      <c r="E1723" s="46"/>
      <c r="F1723" s="46"/>
      <c r="G1723" s="46"/>
      <c r="H1723" s="46"/>
      <c r="I1723" s="46"/>
      <c r="J1723" s="46"/>
      <c r="K1723" s="46"/>
    </row>
    <row r="1724" spans="1:11">
      <c r="A1724" s="45"/>
      <c r="B1724" s="45"/>
      <c r="C1724" s="45"/>
      <c r="D1724" s="46"/>
      <c r="E1724" s="46"/>
      <c r="F1724" s="46"/>
      <c r="G1724" s="46"/>
      <c r="H1724" s="46"/>
      <c r="I1724" s="46"/>
      <c r="J1724" s="46"/>
      <c r="K1724" s="46"/>
    </row>
    <row r="1725" spans="1:11">
      <c r="A1725" s="45"/>
      <c r="B1725" s="45"/>
      <c r="C1725" s="45"/>
      <c r="D1725" s="46"/>
      <c r="E1725" s="46"/>
      <c r="F1725" s="46"/>
      <c r="G1725" s="46"/>
      <c r="H1725" s="46"/>
      <c r="I1725" s="46"/>
      <c r="J1725" s="46"/>
      <c r="K1725" s="46"/>
    </row>
    <row r="1726" spans="1:11">
      <c r="A1726" s="45"/>
      <c r="B1726" s="45"/>
      <c r="C1726" s="45"/>
      <c r="D1726" s="46"/>
      <c r="E1726" s="46"/>
      <c r="F1726" s="46"/>
      <c r="G1726" s="46"/>
      <c r="H1726" s="46"/>
      <c r="I1726" s="46"/>
      <c r="J1726" s="46"/>
      <c r="K1726" s="46"/>
    </row>
    <row r="1727" spans="1:11">
      <c r="A1727" s="45"/>
      <c r="B1727" s="45"/>
      <c r="C1727" s="45"/>
      <c r="D1727" s="46"/>
      <c r="E1727" s="46"/>
      <c r="F1727" s="46"/>
      <c r="G1727" s="46"/>
      <c r="H1727" s="46"/>
      <c r="I1727" s="46"/>
      <c r="J1727" s="46"/>
      <c r="K1727" s="46"/>
    </row>
    <row r="1728" spans="1:11">
      <c r="A1728" s="45"/>
      <c r="B1728" s="45"/>
      <c r="C1728" s="45"/>
      <c r="D1728" s="46"/>
      <c r="E1728" s="46"/>
      <c r="F1728" s="46"/>
      <c r="G1728" s="46"/>
      <c r="H1728" s="46"/>
      <c r="I1728" s="46"/>
      <c r="J1728" s="46"/>
      <c r="K1728" s="46"/>
    </row>
    <row r="1729" spans="1:11">
      <c r="A1729" s="45"/>
      <c r="B1729" s="45"/>
      <c r="C1729" s="45"/>
      <c r="D1729" s="46"/>
      <c r="E1729" s="46"/>
      <c r="F1729" s="46"/>
      <c r="G1729" s="46"/>
      <c r="H1729" s="46"/>
      <c r="I1729" s="46"/>
      <c r="J1729" s="46"/>
      <c r="K1729" s="46"/>
    </row>
    <row r="1730" spans="1:11">
      <c r="A1730" s="45"/>
      <c r="B1730" s="45"/>
      <c r="C1730" s="45"/>
      <c r="D1730" s="46"/>
      <c r="E1730" s="46"/>
      <c r="F1730" s="46"/>
      <c r="G1730" s="46"/>
      <c r="H1730" s="46"/>
      <c r="I1730" s="46"/>
      <c r="J1730" s="46"/>
      <c r="K1730" s="46"/>
    </row>
    <row r="1731" spans="1:11">
      <c r="A1731" s="45"/>
      <c r="B1731" s="45"/>
      <c r="C1731" s="45"/>
      <c r="D1731" s="46"/>
      <c r="E1731" s="46"/>
      <c r="F1731" s="46"/>
      <c r="G1731" s="46"/>
      <c r="H1731" s="46"/>
      <c r="I1731" s="46"/>
      <c r="J1731" s="46"/>
      <c r="K1731" s="46"/>
    </row>
    <row r="1732" spans="1:11">
      <c r="A1732" s="45"/>
      <c r="B1732" s="45"/>
      <c r="C1732" s="45"/>
      <c r="D1732" s="46"/>
      <c r="E1732" s="46"/>
      <c r="F1732" s="46"/>
      <c r="G1732" s="46"/>
      <c r="H1732" s="46"/>
      <c r="I1732" s="46"/>
      <c r="J1732" s="46"/>
      <c r="K1732" s="46"/>
    </row>
    <row r="1733" spans="1:11">
      <c r="A1733" s="45"/>
      <c r="B1733" s="45"/>
      <c r="C1733" s="45"/>
      <c r="D1733" s="46"/>
      <c r="E1733" s="46"/>
      <c r="F1733" s="46"/>
      <c r="G1733" s="46"/>
      <c r="H1733" s="46"/>
      <c r="I1733" s="46"/>
      <c r="J1733" s="46"/>
      <c r="K1733" s="46"/>
    </row>
    <row r="1734" spans="1:11">
      <c r="A1734" s="45"/>
      <c r="B1734" s="45"/>
      <c r="C1734" s="45"/>
      <c r="D1734" s="46"/>
      <c r="E1734" s="46"/>
      <c r="F1734" s="46"/>
      <c r="G1734" s="46"/>
      <c r="H1734" s="46"/>
      <c r="I1734" s="46"/>
      <c r="J1734" s="46"/>
      <c r="K1734" s="46"/>
    </row>
    <row r="1735" spans="1:11">
      <c r="A1735" s="45"/>
      <c r="B1735" s="45"/>
      <c r="C1735" s="45"/>
      <c r="D1735" s="46"/>
      <c r="E1735" s="46"/>
      <c r="F1735" s="46"/>
      <c r="G1735" s="46"/>
      <c r="H1735" s="46"/>
      <c r="I1735" s="46"/>
      <c r="J1735" s="46"/>
      <c r="K1735" s="46"/>
    </row>
    <row r="1736" spans="1:11">
      <c r="A1736" s="45"/>
      <c r="B1736" s="45"/>
      <c r="C1736" s="45"/>
      <c r="D1736" s="46"/>
      <c r="E1736" s="46"/>
      <c r="F1736" s="46"/>
      <c r="G1736" s="46"/>
      <c r="H1736" s="46"/>
      <c r="I1736" s="46"/>
      <c r="J1736" s="46"/>
      <c r="K1736" s="46"/>
    </row>
    <row r="1737" spans="1:11">
      <c r="A1737" s="45"/>
      <c r="B1737" s="45"/>
      <c r="C1737" s="45"/>
      <c r="D1737" s="46"/>
      <c r="E1737" s="46"/>
      <c r="F1737" s="46"/>
      <c r="G1737" s="46"/>
      <c r="H1737" s="46"/>
      <c r="I1737" s="46"/>
      <c r="J1737" s="46"/>
      <c r="K1737" s="46"/>
    </row>
    <row r="1738" spans="1:11">
      <c r="A1738" s="45"/>
      <c r="B1738" s="45"/>
      <c r="C1738" s="45"/>
      <c r="D1738" s="46"/>
      <c r="E1738" s="46"/>
      <c r="F1738" s="46"/>
      <c r="G1738" s="46"/>
      <c r="H1738" s="46"/>
      <c r="I1738" s="46"/>
      <c r="J1738" s="46"/>
      <c r="K1738" s="46"/>
    </row>
    <row r="1739" spans="1:11">
      <c r="A1739" s="45"/>
      <c r="B1739" s="45"/>
      <c r="C1739" s="45"/>
      <c r="D1739" s="46"/>
      <c r="E1739" s="46"/>
      <c r="F1739" s="46"/>
      <c r="G1739" s="46"/>
      <c r="H1739" s="46"/>
      <c r="I1739" s="46"/>
      <c r="J1739" s="46"/>
      <c r="K1739" s="46"/>
    </row>
    <row r="1740" spans="1:11">
      <c r="A1740" s="45"/>
      <c r="B1740" s="45"/>
      <c r="C1740" s="45"/>
      <c r="D1740" s="46"/>
      <c r="E1740" s="46"/>
      <c r="F1740" s="46"/>
      <c r="G1740" s="46"/>
      <c r="H1740" s="46"/>
      <c r="I1740" s="46"/>
      <c r="J1740" s="46"/>
      <c r="K1740" s="46"/>
    </row>
    <row r="1741" spans="1:11">
      <c r="A1741" s="45"/>
      <c r="B1741" s="45"/>
      <c r="C1741" s="45"/>
      <c r="D1741" s="46"/>
      <c r="E1741" s="46"/>
      <c r="F1741" s="46"/>
      <c r="G1741" s="46"/>
      <c r="H1741" s="46"/>
      <c r="I1741" s="46"/>
      <c r="J1741" s="46"/>
      <c r="K1741" s="46"/>
    </row>
    <row r="1742" spans="1:11">
      <c r="A1742" s="45"/>
      <c r="B1742" s="45"/>
      <c r="C1742" s="45"/>
      <c r="D1742" s="46"/>
      <c r="E1742" s="46"/>
      <c r="F1742" s="46"/>
      <c r="G1742" s="46"/>
      <c r="H1742" s="46"/>
      <c r="I1742" s="46"/>
      <c r="J1742" s="46"/>
      <c r="K1742" s="46"/>
    </row>
    <row r="1743" spans="1:11">
      <c r="A1743" s="45"/>
      <c r="B1743" s="45"/>
      <c r="C1743" s="45"/>
      <c r="D1743" s="46"/>
      <c r="E1743" s="46"/>
      <c r="F1743" s="46"/>
      <c r="G1743" s="46"/>
      <c r="H1743" s="46"/>
      <c r="I1743" s="46"/>
      <c r="J1743" s="46"/>
      <c r="K1743" s="46"/>
    </row>
    <row r="1744" spans="1:11">
      <c r="A1744" s="45"/>
      <c r="B1744" s="45"/>
      <c r="C1744" s="45"/>
      <c r="D1744" s="46"/>
      <c r="E1744" s="46"/>
      <c r="F1744" s="46"/>
      <c r="G1744" s="46"/>
      <c r="H1744" s="46"/>
      <c r="I1744" s="46"/>
      <c r="J1744" s="46"/>
      <c r="K1744" s="46"/>
    </row>
    <row r="1745" spans="1:11">
      <c r="A1745" s="45"/>
      <c r="B1745" s="45"/>
      <c r="C1745" s="45"/>
      <c r="D1745" s="46"/>
      <c r="E1745" s="46"/>
      <c r="F1745" s="46"/>
      <c r="G1745" s="46"/>
      <c r="H1745" s="46"/>
      <c r="I1745" s="46"/>
      <c r="J1745" s="46"/>
      <c r="K1745" s="46"/>
    </row>
    <row r="1746" spans="1:11">
      <c r="A1746" s="45"/>
      <c r="B1746" s="45"/>
      <c r="C1746" s="45"/>
      <c r="D1746" s="46"/>
      <c r="E1746" s="46"/>
      <c r="F1746" s="46"/>
      <c r="G1746" s="46"/>
      <c r="H1746" s="46"/>
      <c r="I1746" s="46"/>
      <c r="J1746" s="46"/>
      <c r="K1746" s="46"/>
    </row>
    <row r="1747" spans="1:11">
      <c r="A1747" s="45"/>
      <c r="B1747" s="45"/>
      <c r="C1747" s="45"/>
      <c r="D1747" s="46"/>
      <c r="E1747" s="46"/>
      <c r="F1747" s="46"/>
      <c r="G1747" s="46"/>
      <c r="H1747" s="46"/>
      <c r="I1747" s="46"/>
      <c r="J1747" s="46"/>
      <c r="K1747" s="46"/>
    </row>
    <row r="1748" spans="1:11">
      <c r="A1748" s="45"/>
      <c r="B1748" s="45"/>
      <c r="C1748" s="45"/>
      <c r="D1748" s="46"/>
      <c r="E1748" s="46"/>
      <c r="F1748" s="46"/>
      <c r="G1748" s="46"/>
      <c r="H1748" s="46"/>
      <c r="I1748" s="46"/>
      <c r="J1748" s="46"/>
      <c r="K1748" s="46"/>
    </row>
    <row r="1749" spans="1:11">
      <c r="A1749" s="45"/>
      <c r="B1749" s="45"/>
      <c r="C1749" s="45"/>
      <c r="D1749" s="46"/>
      <c r="E1749" s="46"/>
      <c r="F1749" s="46"/>
      <c r="G1749" s="46"/>
      <c r="H1749" s="46"/>
      <c r="I1749" s="46"/>
      <c r="J1749" s="46"/>
      <c r="K1749" s="46"/>
    </row>
    <row r="1750" spans="1:11">
      <c r="A1750" s="45"/>
      <c r="B1750" s="45"/>
      <c r="C1750" s="45"/>
      <c r="D1750" s="46"/>
      <c r="E1750" s="46"/>
      <c r="F1750" s="46"/>
      <c r="G1750" s="46"/>
      <c r="H1750" s="46"/>
      <c r="I1750" s="46"/>
      <c r="J1750" s="46"/>
      <c r="K1750" s="46"/>
    </row>
    <row r="1751" spans="1:11">
      <c r="A1751" s="45"/>
      <c r="B1751" s="45"/>
      <c r="C1751" s="45"/>
      <c r="D1751" s="46"/>
      <c r="E1751" s="46"/>
      <c r="F1751" s="46"/>
      <c r="G1751" s="46"/>
      <c r="H1751" s="46"/>
      <c r="I1751" s="46"/>
      <c r="J1751" s="46"/>
      <c r="K1751" s="46"/>
    </row>
    <row r="1752" spans="1:11">
      <c r="A1752" s="45"/>
      <c r="B1752" s="45"/>
      <c r="C1752" s="45"/>
      <c r="D1752" s="46"/>
      <c r="E1752" s="46"/>
      <c r="F1752" s="46"/>
      <c r="G1752" s="46"/>
      <c r="H1752" s="46"/>
      <c r="I1752" s="46"/>
      <c r="J1752" s="46"/>
      <c r="K1752" s="46"/>
    </row>
    <row r="1753" spans="1:11">
      <c r="A1753" s="45"/>
      <c r="B1753" s="45"/>
      <c r="C1753" s="45"/>
      <c r="D1753" s="46"/>
      <c r="E1753" s="46"/>
      <c r="F1753" s="46"/>
      <c r="G1753" s="46"/>
      <c r="H1753" s="46"/>
      <c r="I1753" s="46"/>
      <c r="J1753" s="46"/>
      <c r="K1753" s="46"/>
    </row>
    <row r="1754" spans="1:11">
      <c r="A1754" s="45"/>
      <c r="B1754" s="45"/>
      <c r="C1754" s="45"/>
      <c r="D1754" s="46"/>
      <c r="E1754" s="46"/>
      <c r="F1754" s="46"/>
      <c r="G1754" s="46"/>
      <c r="H1754" s="46"/>
      <c r="I1754" s="46"/>
      <c r="J1754" s="46"/>
      <c r="K1754" s="46"/>
    </row>
    <row r="1755" spans="1:11">
      <c r="A1755" s="45"/>
      <c r="B1755" s="45"/>
      <c r="C1755" s="45"/>
      <c r="D1755" s="46"/>
      <c r="E1755" s="46"/>
      <c r="F1755" s="46"/>
      <c r="G1755" s="46"/>
      <c r="H1755" s="46"/>
      <c r="I1755" s="46"/>
      <c r="J1755" s="46"/>
      <c r="K1755" s="46"/>
    </row>
    <row r="1756" spans="1:11">
      <c r="A1756" s="45"/>
      <c r="B1756" s="45"/>
      <c r="C1756" s="45"/>
      <c r="D1756" s="46"/>
      <c r="E1756" s="46"/>
      <c r="F1756" s="46"/>
      <c r="G1756" s="46"/>
      <c r="H1756" s="46"/>
      <c r="I1756" s="46"/>
      <c r="J1756" s="46"/>
      <c r="K1756" s="46"/>
    </row>
    <row r="1757" spans="1:11">
      <c r="A1757" s="45"/>
      <c r="B1757" s="45"/>
      <c r="C1757" s="45"/>
      <c r="D1757" s="46"/>
      <c r="E1757" s="46"/>
      <c r="F1757" s="46"/>
      <c r="G1757" s="46"/>
      <c r="H1757" s="46"/>
      <c r="I1757" s="46"/>
      <c r="J1757" s="46"/>
      <c r="K1757" s="46"/>
    </row>
    <row r="1758" spans="1:11">
      <c r="A1758" s="45"/>
      <c r="B1758" s="45"/>
      <c r="C1758" s="45"/>
      <c r="D1758" s="46"/>
      <c r="E1758" s="46"/>
      <c r="F1758" s="46"/>
      <c r="G1758" s="46"/>
      <c r="H1758" s="46"/>
      <c r="I1758" s="46"/>
      <c r="J1758" s="46"/>
      <c r="K1758" s="46"/>
    </row>
    <row r="1759" spans="1:11">
      <c r="A1759" s="45"/>
      <c r="B1759" s="45"/>
      <c r="C1759" s="45"/>
      <c r="D1759" s="46"/>
      <c r="E1759" s="46"/>
      <c r="F1759" s="46"/>
      <c r="G1759" s="46"/>
      <c r="H1759" s="46"/>
      <c r="I1759" s="46"/>
      <c r="J1759" s="46"/>
      <c r="K1759" s="46"/>
    </row>
    <row r="1760" spans="1:11">
      <c r="A1760" s="45"/>
      <c r="B1760" s="45"/>
      <c r="C1760" s="45"/>
      <c r="D1760" s="46"/>
      <c r="E1760" s="46"/>
      <c r="F1760" s="46"/>
      <c r="G1760" s="46"/>
      <c r="H1760" s="46"/>
      <c r="I1760" s="46"/>
      <c r="J1760" s="46"/>
      <c r="K1760" s="46"/>
    </row>
    <row r="1761" spans="1:11">
      <c r="A1761" s="45"/>
      <c r="B1761" s="45"/>
      <c r="C1761" s="45"/>
      <c r="D1761" s="46"/>
      <c r="E1761" s="46"/>
      <c r="F1761" s="46"/>
      <c r="G1761" s="46"/>
      <c r="H1761" s="46"/>
      <c r="I1761" s="46"/>
      <c r="J1761" s="46"/>
      <c r="K1761" s="46"/>
    </row>
    <row r="1762" spans="1:11">
      <c r="A1762" s="45"/>
      <c r="B1762" s="45"/>
      <c r="C1762" s="45"/>
      <c r="D1762" s="46"/>
      <c r="E1762" s="46"/>
      <c r="F1762" s="46"/>
      <c r="G1762" s="46"/>
      <c r="H1762" s="46"/>
      <c r="I1762" s="46"/>
      <c r="J1762" s="46"/>
      <c r="K1762" s="46"/>
    </row>
    <row r="1763" spans="1:11">
      <c r="A1763" s="45"/>
      <c r="B1763" s="45"/>
      <c r="C1763" s="45"/>
      <c r="D1763" s="46"/>
      <c r="E1763" s="46"/>
      <c r="F1763" s="46"/>
      <c r="G1763" s="46"/>
      <c r="H1763" s="46"/>
      <c r="I1763" s="46"/>
      <c r="J1763" s="46"/>
      <c r="K1763" s="46"/>
    </row>
    <row r="1764" spans="1:11">
      <c r="A1764" s="45"/>
      <c r="B1764" s="45"/>
      <c r="C1764" s="45"/>
      <c r="D1764" s="46"/>
      <c r="E1764" s="46"/>
      <c r="F1764" s="46"/>
      <c r="G1764" s="46"/>
      <c r="H1764" s="46"/>
      <c r="I1764" s="46"/>
      <c r="J1764" s="46"/>
      <c r="K1764" s="46"/>
    </row>
    <row r="1765" spans="1:11">
      <c r="A1765" s="45"/>
      <c r="B1765" s="45"/>
      <c r="C1765" s="45"/>
      <c r="D1765" s="46"/>
      <c r="E1765" s="46"/>
      <c r="F1765" s="46"/>
      <c r="G1765" s="46"/>
      <c r="H1765" s="46"/>
      <c r="I1765" s="46"/>
      <c r="J1765" s="46"/>
      <c r="K1765" s="46"/>
    </row>
    <row r="1766" spans="1:11">
      <c r="A1766" s="45"/>
      <c r="B1766" s="45"/>
      <c r="C1766" s="45"/>
      <c r="D1766" s="46"/>
      <c r="E1766" s="46"/>
      <c r="F1766" s="46"/>
      <c r="G1766" s="46"/>
      <c r="H1766" s="46"/>
      <c r="I1766" s="46"/>
      <c r="J1766" s="46"/>
      <c r="K1766" s="46"/>
    </row>
    <row r="1767" spans="1:11">
      <c r="A1767" s="45"/>
      <c r="B1767" s="45"/>
      <c r="C1767" s="45"/>
      <c r="D1767" s="46"/>
      <c r="E1767" s="46"/>
      <c r="F1767" s="46"/>
      <c r="G1767" s="46"/>
      <c r="H1767" s="46"/>
      <c r="I1767" s="46"/>
      <c r="J1767" s="46"/>
      <c r="K1767" s="46"/>
    </row>
    <row r="1768" spans="1:11">
      <c r="A1768" s="45"/>
      <c r="B1768" s="45"/>
      <c r="C1768" s="45"/>
      <c r="D1768" s="46"/>
      <c r="E1768" s="46"/>
      <c r="F1768" s="46"/>
      <c r="G1768" s="46"/>
      <c r="H1768" s="46"/>
      <c r="I1768" s="46"/>
      <c r="J1768" s="46"/>
      <c r="K1768" s="46"/>
    </row>
    <row r="1769" spans="1:11">
      <c r="A1769" s="45"/>
      <c r="B1769" s="45"/>
      <c r="C1769" s="45"/>
      <c r="D1769" s="46"/>
      <c r="E1769" s="46"/>
      <c r="F1769" s="46"/>
      <c r="G1769" s="46"/>
      <c r="H1769" s="46"/>
      <c r="I1769" s="46"/>
      <c r="J1769" s="46"/>
      <c r="K1769" s="46"/>
    </row>
    <row r="1770" spans="1:11">
      <c r="A1770" s="45"/>
      <c r="B1770" s="45"/>
      <c r="C1770" s="45"/>
      <c r="D1770" s="46"/>
      <c r="E1770" s="46"/>
      <c r="F1770" s="46"/>
      <c r="G1770" s="46"/>
      <c r="H1770" s="46"/>
      <c r="I1770" s="46"/>
      <c r="J1770" s="46"/>
      <c r="K1770" s="46"/>
    </row>
    <row r="1771" spans="1:11">
      <c r="A1771" s="45"/>
      <c r="B1771" s="45"/>
      <c r="C1771" s="45"/>
      <c r="D1771" s="46"/>
      <c r="E1771" s="46"/>
      <c r="F1771" s="46"/>
      <c r="G1771" s="46"/>
      <c r="H1771" s="46"/>
      <c r="I1771" s="46"/>
      <c r="J1771" s="46"/>
      <c r="K1771" s="46"/>
    </row>
    <row r="1772" spans="1:11">
      <c r="A1772" s="45"/>
      <c r="B1772" s="45"/>
      <c r="C1772" s="45"/>
      <c r="D1772" s="46"/>
      <c r="E1772" s="46"/>
      <c r="F1772" s="46"/>
      <c r="G1772" s="46"/>
      <c r="H1772" s="46"/>
      <c r="I1772" s="46"/>
      <c r="J1772" s="46"/>
      <c r="K1772" s="46"/>
    </row>
    <row r="1773" spans="1:11">
      <c r="A1773" s="45"/>
      <c r="B1773" s="45"/>
      <c r="C1773" s="45"/>
      <c r="D1773" s="46"/>
      <c r="E1773" s="46"/>
      <c r="F1773" s="46"/>
      <c r="G1773" s="46"/>
      <c r="H1773" s="46"/>
      <c r="I1773" s="46"/>
      <c r="J1773" s="46"/>
      <c r="K1773" s="46"/>
    </row>
    <row r="1774" spans="1:11">
      <c r="A1774" s="45"/>
      <c r="B1774" s="45"/>
      <c r="C1774" s="45"/>
      <c r="D1774" s="46"/>
      <c r="E1774" s="46"/>
      <c r="F1774" s="46"/>
      <c r="G1774" s="46"/>
      <c r="H1774" s="46"/>
      <c r="I1774" s="46"/>
      <c r="J1774" s="46"/>
      <c r="K1774" s="46"/>
    </row>
    <row r="1775" spans="1:11">
      <c r="A1775" s="45"/>
      <c r="B1775" s="45"/>
      <c r="C1775" s="45"/>
      <c r="D1775" s="46"/>
      <c r="E1775" s="46"/>
      <c r="F1775" s="46"/>
      <c r="G1775" s="46"/>
      <c r="H1775" s="46"/>
      <c r="I1775" s="46"/>
      <c r="J1775" s="46"/>
      <c r="K1775" s="46"/>
    </row>
    <row r="1776" spans="1:11">
      <c r="A1776" s="45"/>
      <c r="B1776" s="45"/>
      <c r="C1776" s="45"/>
      <c r="D1776" s="46"/>
      <c r="E1776" s="46"/>
      <c r="F1776" s="46"/>
      <c r="G1776" s="46"/>
      <c r="H1776" s="46"/>
      <c r="I1776" s="46"/>
      <c r="J1776" s="46"/>
      <c r="K1776" s="46"/>
    </row>
    <row r="1777" spans="1:11">
      <c r="A1777" s="45"/>
      <c r="B1777" s="45"/>
      <c r="C1777" s="45"/>
      <c r="D1777" s="46"/>
      <c r="E1777" s="46"/>
      <c r="F1777" s="46"/>
      <c r="G1777" s="46"/>
      <c r="H1777" s="46"/>
      <c r="I1777" s="46"/>
      <c r="J1777" s="46"/>
      <c r="K1777" s="46"/>
    </row>
    <row r="1778" spans="1:11">
      <c r="A1778" s="45"/>
      <c r="B1778" s="45"/>
      <c r="C1778" s="45"/>
      <c r="D1778" s="46"/>
      <c r="E1778" s="46"/>
      <c r="F1778" s="46"/>
      <c r="G1778" s="46"/>
      <c r="H1778" s="46"/>
      <c r="I1778" s="46"/>
      <c r="J1778" s="46"/>
      <c r="K1778" s="46"/>
    </row>
    <row r="1779" spans="1:11">
      <c r="A1779" s="45"/>
      <c r="B1779" s="45"/>
      <c r="C1779" s="45"/>
      <c r="D1779" s="46"/>
      <c r="E1779" s="46"/>
      <c r="F1779" s="46"/>
      <c r="G1779" s="46"/>
      <c r="H1779" s="46"/>
      <c r="I1779" s="46"/>
      <c r="J1779" s="46"/>
      <c r="K1779" s="46"/>
    </row>
    <row r="1780" spans="1:11">
      <c r="A1780" s="45"/>
      <c r="B1780" s="45"/>
      <c r="C1780" s="45"/>
      <c r="D1780" s="46"/>
      <c r="E1780" s="46"/>
      <c r="F1780" s="46"/>
      <c r="G1780" s="46"/>
      <c r="H1780" s="46"/>
      <c r="I1780" s="46"/>
      <c r="J1780" s="46"/>
      <c r="K1780" s="46"/>
    </row>
    <row r="1781" spans="1:11">
      <c r="A1781" s="45"/>
      <c r="B1781" s="45"/>
      <c r="C1781" s="45"/>
      <c r="D1781" s="46"/>
      <c r="E1781" s="46"/>
      <c r="F1781" s="46"/>
      <c r="G1781" s="46"/>
      <c r="H1781" s="46"/>
      <c r="I1781" s="46"/>
      <c r="J1781" s="46"/>
      <c r="K1781" s="46"/>
    </row>
    <row r="1782" spans="1:11">
      <c r="A1782" s="45"/>
      <c r="B1782" s="45"/>
      <c r="C1782" s="45"/>
      <c r="D1782" s="46"/>
      <c r="E1782" s="46"/>
      <c r="F1782" s="46"/>
      <c r="G1782" s="46"/>
      <c r="H1782" s="46"/>
      <c r="I1782" s="46"/>
      <c r="J1782" s="46"/>
      <c r="K1782" s="46"/>
    </row>
    <row r="1783" spans="1:11">
      <c r="A1783" s="45"/>
      <c r="B1783" s="45"/>
      <c r="C1783" s="45"/>
      <c r="D1783" s="46"/>
      <c r="E1783" s="46"/>
      <c r="F1783" s="46"/>
      <c r="G1783" s="46"/>
      <c r="H1783" s="46"/>
      <c r="I1783" s="46"/>
      <c r="J1783" s="46"/>
      <c r="K1783" s="46"/>
    </row>
    <row r="1784" spans="1:11">
      <c r="A1784" s="45"/>
      <c r="B1784" s="45"/>
      <c r="C1784" s="45"/>
      <c r="D1784" s="46"/>
      <c r="E1784" s="46"/>
      <c r="F1784" s="46"/>
      <c r="G1784" s="46"/>
      <c r="H1784" s="46"/>
      <c r="I1784" s="46"/>
      <c r="J1784" s="46"/>
      <c r="K1784" s="46"/>
    </row>
    <row r="1785" spans="1:11">
      <c r="A1785" s="45"/>
      <c r="B1785" s="45"/>
      <c r="C1785" s="45"/>
      <c r="D1785" s="46"/>
      <c r="E1785" s="46"/>
      <c r="F1785" s="46"/>
      <c r="G1785" s="46"/>
      <c r="H1785" s="46"/>
      <c r="I1785" s="46"/>
      <c r="J1785" s="46"/>
      <c r="K1785" s="46"/>
    </row>
    <row r="1786" spans="1:11">
      <c r="A1786" s="45"/>
      <c r="B1786" s="45"/>
      <c r="C1786" s="45"/>
      <c r="D1786" s="46"/>
      <c r="E1786" s="46"/>
      <c r="F1786" s="46"/>
      <c r="G1786" s="46"/>
      <c r="H1786" s="46"/>
      <c r="I1786" s="46"/>
      <c r="J1786" s="46"/>
      <c r="K1786" s="46"/>
    </row>
    <row r="1787" spans="1:11">
      <c r="A1787" s="45"/>
      <c r="B1787" s="45"/>
      <c r="C1787" s="45"/>
      <c r="D1787" s="46"/>
      <c r="E1787" s="46"/>
      <c r="F1787" s="46"/>
      <c r="G1787" s="46"/>
      <c r="H1787" s="46"/>
      <c r="I1787" s="46"/>
      <c r="J1787" s="46"/>
      <c r="K1787" s="46"/>
    </row>
    <row r="1788" spans="1:11">
      <c r="A1788" s="45"/>
      <c r="B1788" s="45"/>
      <c r="C1788" s="45"/>
      <c r="D1788" s="46"/>
      <c r="E1788" s="46"/>
      <c r="F1788" s="46"/>
      <c r="G1788" s="46"/>
      <c r="H1788" s="46"/>
      <c r="I1788" s="46"/>
      <c r="J1788" s="46"/>
      <c r="K1788" s="46"/>
    </row>
    <row r="1789" spans="1:11">
      <c r="A1789" s="45"/>
      <c r="B1789" s="45"/>
      <c r="C1789" s="45"/>
      <c r="D1789" s="46"/>
      <c r="E1789" s="46"/>
      <c r="F1789" s="46"/>
      <c r="G1789" s="46"/>
      <c r="H1789" s="46"/>
      <c r="I1789" s="46"/>
      <c r="J1789" s="46"/>
      <c r="K1789" s="46"/>
    </row>
    <row r="1790" spans="1:11">
      <c r="A1790" s="45"/>
      <c r="B1790" s="45"/>
      <c r="C1790" s="45"/>
      <c r="D1790" s="46"/>
      <c r="E1790" s="46"/>
      <c r="F1790" s="46"/>
      <c r="G1790" s="46"/>
      <c r="H1790" s="46"/>
      <c r="I1790" s="46"/>
      <c r="J1790" s="46"/>
      <c r="K1790" s="46"/>
    </row>
    <row r="1791" spans="1:11">
      <c r="A1791" s="45"/>
      <c r="B1791" s="45"/>
      <c r="C1791" s="45"/>
      <c r="D1791" s="46"/>
      <c r="E1791" s="46"/>
      <c r="F1791" s="46"/>
      <c r="G1791" s="46"/>
      <c r="H1791" s="46"/>
      <c r="I1791" s="46"/>
      <c r="J1791" s="46"/>
      <c r="K1791" s="46"/>
    </row>
    <row r="1792" spans="1:11">
      <c r="A1792" s="45"/>
      <c r="B1792" s="45"/>
      <c r="C1792" s="45"/>
      <c r="D1792" s="46"/>
      <c r="E1792" s="46"/>
      <c r="F1792" s="46"/>
      <c r="G1792" s="46"/>
      <c r="H1792" s="46"/>
      <c r="I1792" s="46"/>
      <c r="J1792" s="46"/>
      <c r="K1792" s="46"/>
    </row>
    <row r="1793" spans="1:11">
      <c r="A1793" s="45"/>
      <c r="B1793" s="45"/>
      <c r="C1793" s="45"/>
      <c r="D1793" s="46"/>
      <c r="E1793" s="46"/>
      <c r="F1793" s="46"/>
      <c r="G1793" s="46"/>
      <c r="H1793" s="46"/>
      <c r="I1793" s="46"/>
      <c r="J1793" s="46"/>
      <c r="K1793" s="46"/>
    </row>
    <row r="1794" spans="1:11">
      <c r="A1794" s="45"/>
      <c r="B1794" s="45"/>
      <c r="C1794" s="45"/>
      <c r="D1794" s="46"/>
      <c r="E1794" s="46"/>
      <c r="F1794" s="46"/>
      <c r="G1794" s="46"/>
      <c r="H1794" s="46"/>
      <c r="I1794" s="46"/>
      <c r="J1794" s="46"/>
      <c r="K1794" s="46"/>
    </row>
    <row r="1795" spans="1:11">
      <c r="A1795" s="45"/>
      <c r="B1795" s="45"/>
      <c r="C1795" s="45"/>
      <c r="D1795" s="46"/>
      <c r="E1795" s="46"/>
      <c r="F1795" s="46"/>
      <c r="G1795" s="46"/>
      <c r="H1795" s="46"/>
      <c r="I1795" s="46"/>
      <c r="J1795" s="46"/>
      <c r="K1795" s="46"/>
    </row>
    <row r="1796" spans="1:11">
      <c r="A1796" s="45"/>
      <c r="B1796" s="45"/>
      <c r="C1796" s="45"/>
      <c r="D1796" s="46"/>
      <c r="E1796" s="46"/>
      <c r="F1796" s="46"/>
      <c r="G1796" s="46"/>
      <c r="H1796" s="46"/>
      <c r="I1796" s="46"/>
      <c r="J1796" s="46"/>
      <c r="K1796" s="46"/>
    </row>
    <row r="1797" spans="1:11">
      <c r="A1797" s="45"/>
      <c r="B1797" s="45"/>
      <c r="C1797" s="45"/>
      <c r="D1797" s="46"/>
      <c r="E1797" s="46"/>
      <c r="F1797" s="46"/>
      <c r="G1797" s="46"/>
      <c r="H1797" s="46"/>
      <c r="I1797" s="46"/>
      <c r="J1797" s="46"/>
      <c r="K1797" s="46"/>
    </row>
    <row r="1798" spans="1:11">
      <c r="A1798" s="45"/>
      <c r="B1798" s="45"/>
      <c r="C1798" s="45"/>
      <c r="D1798" s="46"/>
      <c r="E1798" s="46"/>
      <c r="F1798" s="46"/>
      <c r="G1798" s="46"/>
      <c r="H1798" s="46"/>
      <c r="I1798" s="46"/>
      <c r="J1798" s="46"/>
      <c r="K1798" s="46"/>
    </row>
    <row r="1799" spans="1:11">
      <c r="A1799" s="45"/>
      <c r="B1799" s="45"/>
      <c r="C1799" s="45"/>
      <c r="D1799" s="46"/>
      <c r="E1799" s="46"/>
      <c r="F1799" s="46"/>
      <c r="G1799" s="46"/>
      <c r="H1799" s="46"/>
      <c r="I1799" s="46"/>
      <c r="J1799" s="46"/>
      <c r="K1799" s="46"/>
    </row>
    <row r="1800" spans="1:11">
      <c r="A1800" s="45"/>
      <c r="B1800" s="45"/>
      <c r="C1800" s="45"/>
      <c r="D1800" s="46"/>
      <c r="E1800" s="46"/>
      <c r="F1800" s="46"/>
      <c r="G1800" s="46"/>
      <c r="H1800" s="46"/>
      <c r="I1800" s="46"/>
      <c r="J1800" s="46"/>
      <c r="K1800" s="46"/>
    </row>
    <row r="1801" spans="1:11">
      <c r="A1801" s="45"/>
      <c r="B1801" s="45"/>
      <c r="C1801" s="45"/>
      <c r="D1801" s="46"/>
      <c r="E1801" s="46"/>
      <c r="F1801" s="46"/>
      <c r="G1801" s="46"/>
      <c r="H1801" s="46"/>
      <c r="I1801" s="46"/>
      <c r="J1801" s="46"/>
      <c r="K1801" s="46"/>
    </row>
    <row r="1802" spans="1:11">
      <c r="A1802" s="45"/>
      <c r="B1802" s="45"/>
      <c r="C1802" s="45"/>
      <c r="D1802" s="46"/>
      <c r="E1802" s="46"/>
      <c r="F1802" s="46"/>
      <c r="G1802" s="46"/>
      <c r="H1802" s="46"/>
      <c r="I1802" s="46"/>
      <c r="J1802" s="46"/>
      <c r="K1802" s="46"/>
    </row>
    <row r="1803" spans="1:11">
      <c r="A1803" s="45"/>
      <c r="B1803" s="45"/>
      <c r="C1803" s="45"/>
      <c r="D1803" s="46"/>
      <c r="E1803" s="46"/>
      <c r="F1803" s="46"/>
      <c r="G1803" s="46"/>
      <c r="H1803" s="46"/>
      <c r="I1803" s="46"/>
      <c r="J1803" s="46"/>
      <c r="K1803" s="46"/>
    </row>
    <row r="1804" spans="1:11">
      <c r="A1804" s="45"/>
      <c r="B1804" s="45"/>
      <c r="C1804" s="45"/>
      <c r="D1804" s="46"/>
      <c r="E1804" s="46"/>
      <c r="F1804" s="46"/>
      <c r="G1804" s="46"/>
      <c r="H1804" s="46"/>
      <c r="I1804" s="46"/>
      <c r="J1804" s="46"/>
      <c r="K1804" s="46"/>
    </row>
    <row r="1805" spans="1:11">
      <c r="A1805" s="45"/>
      <c r="B1805" s="45"/>
      <c r="C1805" s="45"/>
      <c r="D1805" s="46"/>
      <c r="E1805" s="46"/>
      <c r="F1805" s="46"/>
      <c r="G1805" s="46"/>
      <c r="H1805" s="46"/>
      <c r="I1805" s="46"/>
      <c r="J1805" s="46"/>
      <c r="K1805" s="46"/>
    </row>
    <row r="1806" spans="1:11">
      <c r="A1806" s="45"/>
      <c r="B1806" s="45"/>
      <c r="C1806" s="45"/>
      <c r="D1806" s="46"/>
      <c r="E1806" s="46"/>
      <c r="F1806" s="46"/>
      <c r="G1806" s="46"/>
      <c r="H1806" s="46"/>
      <c r="I1806" s="46"/>
      <c r="J1806" s="46"/>
      <c r="K1806" s="46"/>
    </row>
    <row r="1807" spans="1:11">
      <c r="A1807" s="45"/>
      <c r="B1807" s="45"/>
      <c r="C1807" s="45"/>
      <c r="D1807" s="46"/>
      <c r="E1807" s="46"/>
      <c r="F1807" s="46"/>
      <c r="G1807" s="46"/>
      <c r="H1807" s="46"/>
      <c r="I1807" s="46"/>
      <c r="J1807" s="46"/>
      <c r="K1807" s="46"/>
    </row>
    <row r="1808" spans="1:11">
      <c r="A1808" s="45"/>
      <c r="B1808" s="45"/>
      <c r="C1808" s="45"/>
      <c r="D1808" s="46"/>
      <c r="E1808" s="46"/>
      <c r="F1808" s="46"/>
      <c r="G1808" s="46"/>
      <c r="H1808" s="46"/>
      <c r="I1808" s="46"/>
      <c r="J1808" s="46"/>
      <c r="K1808" s="46"/>
    </row>
    <row r="1809" spans="1:11">
      <c r="A1809" s="45"/>
      <c r="B1809" s="45"/>
      <c r="C1809" s="45"/>
      <c r="D1809" s="46"/>
      <c r="E1809" s="46"/>
      <c r="F1809" s="46"/>
      <c r="G1809" s="46"/>
      <c r="H1809" s="46"/>
      <c r="I1809" s="46"/>
      <c r="J1809" s="46"/>
      <c r="K1809" s="46"/>
    </row>
    <row r="1810" spans="1:11">
      <c r="A1810" s="45"/>
      <c r="B1810" s="45"/>
      <c r="C1810" s="45"/>
      <c r="D1810" s="46"/>
      <c r="E1810" s="46"/>
      <c r="F1810" s="46"/>
      <c r="G1810" s="46"/>
      <c r="H1810" s="46"/>
      <c r="I1810" s="46"/>
      <c r="J1810" s="46"/>
      <c r="K1810" s="46"/>
    </row>
    <row r="1811" spans="1:11">
      <c r="A1811" s="45"/>
      <c r="B1811" s="45"/>
      <c r="C1811" s="45"/>
      <c r="D1811" s="46"/>
      <c r="E1811" s="46"/>
      <c r="F1811" s="46"/>
      <c r="G1811" s="46"/>
      <c r="H1811" s="46"/>
      <c r="I1811" s="46"/>
      <c r="J1811" s="46"/>
      <c r="K1811" s="46"/>
    </row>
    <row r="1812" spans="1:11">
      <c r="A1812" s="45"/>
      <c r="B1812" s="45"/>
      <c r="C1812" s="45"/>
      <c r="D1812" s="46"/>
      <c r="E1812" s="46"/>
      <c r="F1812" s="46"/>
      <c r="G1812" s="46"/>
      <c r="H1812" s="46"/>
      <c r="I1812" s="46"/>
      <c r="J1812" s="46"/>
      <c r="K1812" s="46"/>
    </row>
    <row r="1813" spans="1:11">
      <c r="A1813" s="45"/>
      <c r="B1813" s="45"/>
      <c r="C1813" s="45"/>
      <c r="D1813" s="46"/>
      <c r="E1813" s="46"/>
      <c r="F1813" s="46"/>
      <c r="G1813" s="46"/>
      <c r="H1813" s="46"/>
      <c r="I1813" s="46"/>
      <c r="J1813" s="46"/>
      <c r="K1813" s="46"/>
    </row>
    <row r="1814" spans="1:11">
      <c r="A1814" s="45"/>
      <c r="B1814" s="45"/>
      <c r="C1814" s="45"/>
      <c r="D1814" s="46"/>
      <c r="E1814" s="46"/>
      <c r="F1814" s="46"/>
      <c r="G1814" s="46"/>
      <c r="H1814" s="46"/>
      <c r="I1814" s="46"/>
      <c r="J1814" s="46"/>
      <c r="K1814" s="46"/>
    </row>
    <row r="1815" spans="1:11">
      <c r="A1815" s="45"/>
      <c r="B1815" s="45"/>
      <c r="C1815" s="45"/>
      <c r="D1815" s="46"/>
      <c r="E1815" s="46"/>
      <c r="F1815" s="46"/>
      <c r="G1815" s="46"/>
      <c r="H1815" s="46"/>
      <c r="I1815" s="46"/>
      <c r="J1815" s="46"/>
      <c r="K1815" s="46"/>
    </row>
    <row r="1816" spans="1:11">
      <c r="A1816" s="45"/>
      <c r="B1816" s="45"/>
      <c r="C1816" s="45"/>
      <c r="D1816" s="46"/>
      <c r="E1816" s="46"/>
      <c r="F1816" s="46"/>
      <c r="G1816" s="46"/>
      <c r="H1816" s="46"/>
      <c r="I1816" s="46"/>
      <c r="J1816" s="46"/>
      <c r="K1816" s="46"/>
    </row>
    <row r="1817" spans="1:11">
      <c r="A1817" s="45"/>
      <c r="B1817" s="45"/>
      <c r="C1817" s="45"/>
      <c r="D1817" s="46"/>
      <c r="E1817" s="46"/>
      <c r="F1817" s="46"/>
      <c r="G1817" s="46"/>
      <c r="H1817" s="46"/>
      <c r="I1817" s="46"/>
      <c r="J1817" s="46"/>
      <c r="K1817" s="46"/>
    </row>
    <row r="1818" spans="1:11">
      <c r="A1818" s="45"/>
      <c r="B1818" s="45"/>
      <c r="C1818" s="45"/>
      <c r="D1818" s="46"/>
      <c r="E1818" s="46"/>
      <c r="F1818" s="46"/>
      <c r="G1818" s="46"/>
      <c r="H1818" s="46"/>
      <c r="I1818" s="46"/>
      <c r="J1818" s="46"/>
      <c r="K1818" s="46"/>
    </row>
    <row r="1819" spans="1:11">
      <c r="A1819" s="45"/>
      <c r="B1819" s="45"/>
      <c r="C1819" s="45"/>
      <c r="D1819" s="46"/>
      <c r="E1819" s="46"/>
      <c r="F1819" s="46"/>
      <c r="G1819" s="46"/>
      <c r="H1819" s="46"/>
      <c r="I1819" s="46"/>
      <c r="J1819" s="46"/>
      <c r="K1819" s="46"/>
    </row>
    <row r="1820" spans="1:11">
      <c r="A1820" s="45"/>
      <c r="B1820" s="45"/>
      <c r="C1820" s="45"/>
      <c r="D1820" s="46"/>
      <c r="E1820" s="46"/>
      <c r="F1820" s="46"/>
      <c r="G1820" s="46"/>
      <c r="H1820" s="46"/>
      <c r="I1820" s="46"/>
      <c r="J1820" s="46"/>
      <c r="K1820" s="46"/>
    </row>
    <row r="1821" spans="1:11">
      <c r="A1821" s="45"/>
      <c r="B1821" s="45"/>
      <c r="C1821" s="45"/>
      <c r="D1821" s="46"/>
      <c r="E1821" s="46"/>
      <c r="F1821" s="46"/>
      <c r="G1821" s="46"/>
      <c r="H1821" s="46"/>
      <c r="I1821" s="46"/>
      <c r="J1821" s="46"/>
      <c r="K1821" s="46"/>
    </row>
    <row r="1822" spans="1:11">
      <c r="A1822" s="45"/>
      <c r="B1822" s="45"/>
      <c r="C1822" s="45"/>
      <c r="D1822" s="46"/>
      <c r="E1822" s="46"/>
      <c r="F1822" s="46"/>
      <c r="G1822" s="46"/>
      <c r="H1822" s="46"/>
      <c r="I1822" s="46"/>
      <c r="J1822" s="46"/>
      <c r="K1822" s="46"/>
    </row>
    <row r="1823" spans="1:11">
      <c r="A1823" s="45"/>
      <c r="B1823" s="45"/>
      <c r="C1823" s="45"/>
      <c r="D1823" s="46"/>
      <c r="E1823" s="46"/>
      <c r="F1823" s="46"/>
      <c r="G1823" s="46"/>
      <c r="H1823" s="46"/>
      <c r="I1823" s="46"/>
      <c r="J1823" s="46"/>
      <c r="K1823" s="46"/>
    </row>
    <row r="1824" spans="1:11">
      <c r="A1824" s="45"/>
      <c r="B1824" s="45"/>
      <c r="C1824" s="45"/>
      <c r="D1824" s="46"/>
      <c r="E1824" s="46"/>
      <c r="F1824" s="46"/>
      <c r="G1824" s="46"/>
      <c r="H1824" s="46"/>
      <c r="I1824" s="46"/>
      <c r="J1824" s="46"/>
      <c r="K1824" s="46"/>
    </row>
    <row r="1825" spans="1:11">
      <c r="A1825" s="45"/>
      <c r="B1825" s="45"/>
      <c r="C1825" s="45"/>
      <c r="D1825" s="46"/>
      <c r="E1825" s="46"/>
      <c r="F1825" s="46"/>
      <c r="G1825" s="46"/>
      <c r="H1825" s="46"/>
      <c r="I1825" s="46"/>
      <c r="J1825" s="46"/>
      <c r="K1825" s="46"/>
    </row>
    <row r="1826" spans="1:11">
      <c r="A1826" s="45"/>
      <c r="B1826" s="45"/>
      <c r="C1826" s="45"/>
      <c r="D1826" s="46"/>
      <c r="E1826" s="46"/>
      <c r="F1826" s="46"/>
      <c r="G1826" s="46"/>
      <c r="H1826" s="46"/>
      <c r="I1826" s="46"/>
      <c r="J1826" s="46"/>
      <c r="K1826" s="46"/>
    </row>
    <row r="1827" spans="1:11">
      <c r="A1827" s="45"/>
      <c r="B1827" s="45"/>
      <c r="C1827" s="45"/>
      <c r="D1827" s="46"/>
      <c r="E1827" s="46"/>
      <c r="F1827" s="46"/>
      <c r="G1827" s="46"/>
      <c r="H1827" s="46"/>
      <c r="I1827" s="46"/>
      <c r="J1827" s="46"/>
      <c r="K1827" s="46"/>
    </row>
    <row r="1828" spans="1:11">
      <c r="A1828" s="45"/>
      <c r="B1828" s="45"/>
      <c r="C1828" s="45"/>
      <c r="D1828" s="46"/>
      <c r="E1828" s="46"/>
      <c r="F1828" s="46"/>
      <c r="G1828" s="46"/>
      <c r="H1828" s="46"/>
      <c r="I1828" s="46"/>
      <c r="J1828" s="46"/>
      <c r="K1828" s="46"/>
    </row>
    <row r="1829" spans="1:11">
      <c r="A1829" s="45"/>
      <c r="B1829" s="45"/>
      <c r="C1829" s="45"/>
      <c r="D1829" s="46"/>
      <c r="E1829" s="46"/>
      <c r="F1829" s="46"/>
      <c r="G1829" s="46"/>
      <c r="H1829" s="46"/>
      <c r="I1829" s="46"/>
      <c r="J1829" s="46"/>
      <c r="K1829" s="46"/>
    </row>
    <row r="1830" spans="1:11">
      <c r="A1830" s="45"/>
      <c r="B1830" s="45"/>
      <c r="C1830" s="45"/>
      <c r="D1830" s="46"/>
      <c r="E1830" s="46"/>
      <c r="F1830" s="46"/>
      <c r="G1830" s="46"/>
      <c r="H1830" s="46"/>
      <c r="I1830" s="46"/>
      <c r="J1830" s="46"/>
      <c r="K1830" s="46"/>
    </row>
    <row r="1831" spans="1:11">
      <c r="A1831" s="45"/>
      <c r="B1831" s="45"/>
      <c r="C1831" s="45"/>
      <c r="D1831" s="46"/>
      <c r="E1831" s="46"/>
      <c r="F1831" s="46"/>
      <c r="G1831" s="46"/>
      <c r="H1831" s="46"/>
      <c r="I1831" s="46"/>
      <c r="J1831" s="46"/>
      <c r="K1831" s="46"/>
    </row>
    <row r="1832" spans="1:11">
      <c r="A1832" s="45"/>
      <c r="B1832" s="45"/>
      <c r="C1832" s="45"/>
      <c r="D1832" s="46"/>
      <c r="E1832" s="46"/>
      <c r="F1832" s="46"/>
      <c r="G1832" s="46"/>
      <c r="H1832" s="46"/>
      <c r="I1832" s="46"/>
      <c r="J1832" s="46"/>
      <c r="K1832" s="46"/>
    </row>
    <row r="1833" spans="1:11">
      <c r="A1833" s="45"/>
      <c r="B1833" s="45"/>
      <c r="C1833" s="45"/>
      <c r="D1833" s="46"/>
      <c r="E1833" s="46"/>
      <c r="F1833" s="46"/>
      <c r="G1833" s="46"/>
      <c r="H1833" s="46"/>
      <c r="I1833" s="46"/>
      <c r="J1833" s="46"/>
      <c r="K1833" s="46"/>
    </row>
    <row r="1834" spans="1:11">
      <c r="A1834" s="45"/>
      <c r="B1834" s="45"/>
      <c r="C1834" s="45"/>
      <c r="D1834" s="46"/>
      <c r="E1834" s="46"/>
      <c r="F1834" s="46"/>
      <c r="G1834" s="46"/>
      <c r="H1834" s="46"/>
      <c r="I1834" s="46"/>
      <c r="J1834" s="46"/>
      <c r="K1834" s="46"/>
    </row>
    <row r="1835" spans="1:11">
      <c r="A1835" s="45"/>
      <c r="B1835" s="45"/>
      <c r="C1835" s="45"/>
      <c r="D1835" s="46"/>
      <c r="E1835" s="46"/>
      <c r="F1835" s="46"/>
      <c r="G1835" s="46"/>
      <c r="H1835" s="46"/>
      <c r="I1835" s="46"/>
      <c r="J1835" s="46"/>
      <c r="K1835" s="46"/>
    </row>
    <row r="1836" spans="1:11">
      <c r="A1836" s="45"/>
      <c r="B1836" s="45"/>
      <c r="C1836" s="45"/>
      <c r="D1836" s="46"/>
      <c r="E1836" s="46"/>
      <c r="F1836" s="46"/>
      <c r="G1836" s="46"/>
      <c r="H1836" s="46"/>
      <c r="I1836" s="46"/>
      <c r="J1836" s="46"/>
      <c r="K1836" s="46"/>
    </row>
    <row r="1837" spans="1:11">
      <c r="A1837" s="45"/>
      <c r="B1837" s="45"/>
      <c r="C1837" s="45"/>
      <c r="D1837" s="46"/>
      <c r="E1837" s="46"/>
      <c r="F1837" s="46"/>
      <c r="G1837" s="46"/>
      <c r="H1837" s="46"/>
      <c r="I1837" s="46"/>
      <c r="J1837" s="46"/>
      <c r="K1837" s="46"/>
    </row>
    <row r="1838" spans="1:11">
      <c r="A1838" s="45"/>
      <c r="B1838" s="45"/>
      <c r="C1838" s="45"/>
      <c r="D1838" s="46"/>
      <c r="E1838" s="46"/>
      <c r="F1838" s="46"/>
      <c r="G1838" s="46"/>
      <c r="H1838" s="46"/>
      <c r="I1838" s="46"/>
      <c r="J1838" s="46"/>
      <c r="K1838" s="46"/>
    </row>
    <row r="1839" spans="1:11">
      <c r="A1839" s="45"/>
      <c r="B1839" s="45"/>
      <c r="C1839" s="45"/>
      <c r="D1839" s="46"/>
      <c r="E1839" s="46"/>
      <c r="F1839" s="46"/>
      <c r="G1839" s="46"/>
      <c r="H1839" s="46"/>
      <c r="I1839" s="46"/>
      <c r="J1839" s="46"/>
      <c r="K1839" s="46"/>
    </row>
    <row r="1840" spans="1:11">
      <c r="A1840" s="45"/>
      <c r="B1840" s="45"/>
      <c r="C1840" s="45"/>
      <c r="D1840" s="46"/>
      <c r="E1840" s="46"/>
      <c r="F1840" s="46"/>
      <c r="G1840" s="46"/>
      <c r="H1840" s="46"/>
      <c r="I1840" s="46"/>
      <c r="J1840" s="46"/>
      <c r="K1840" s="46"/>
    </row>
    <row r="1841" spans="1:11">
      <c r="A1841" s="45"/>
      <c r="B1841" s="45"/>
      <c r="C1841" s="45"/>
      <c r="D1841" s="46"/>
      <c r="E1841" s="46"/>
      <c r="F1841" s="46"/>
      <c r="G1841" s="46"/>
      <c r="H1841" s="46"/>
      <c r="I1841" s="46"/>
      <c r="J1841" s="46"/>
      <c r="K1841" s="46"/>
    </row>
    <row r="1842" spans="1:11">
      <c r="A1842" s="45"/>
      <c r="B1842" s="45"/>
      <c r="C1842" s="45"/>
      <c r="D1842" s="46"/>
      <c r="E1842" s="46"/>
      <c r="F1842" s="46"/>
      <c r="G1842" s="46"/>
      <c r="H1842" s="46"/>
      <c r="I1842" s="46"/>
      <c r="J1842" s="46"/>
      <c r="K1842" s="46"/>
    </row>
    <row r="1843" spans="1:11">
      <c r="A1843" s="45"/>
      <c r="B1843" s="45"/>
      <c r="C1843" s="45"/>
      <c r="D1843" s="46"/>
      <c r="E1843" s="46"/>
      <c r="F1843" s="46"/>
      <c r="G1843" s="46"/>
      <c r="H1843" s="46"/>
      <c r="I1843" s="46"/>
      <c r="J1843" s="46"/>
      <c r="K1843" s="46"/>
    </row>
    <row r="1844" spans="1:11">
      <c r="A1844" s="45"/>
      <c r="B1844" s="45"/>
      <c r="C1844" s="45"/>
      <c r="D1844" s="46"/>
      <c r="E1844" s="46"/>
      <c r="F1844" s="46"/>
      <c r="G1844" s="46"/>
      <c r="H1844" s="46"/>
      <c r="I1844" s="46"/>
      <c r="J1844" s="46"/>
      <c r="K1844" s="46"/>
    </row>
    <row r="1845" spans="1:11">
      <c r="A1845" s="45"/>
      <c r="B1845" s="45"/>
      <c r="C1845" s="45"/>
      <c r="D1845" s="46"/>
      <c r="E1845" s="46"/>
      <c r="F1845" s="46"/>
      <c r="G1845" s="46"/>
      <c r="H1845" s="46"/>
      <c r="I1845" s="46"/>
      <c r="J1845" s="46"/>
      <c r="K1845" s="46"/>
    </row>
    <row r="1846" spans="1:11">
      <c r="A1846" s="45"/>
      <c r="B1846" s="45"/>
      <c r="C1846" s="45"/>
      <c r="D1846" s="46"/>
      <c r="E1846" s="46"/>
      <c r="F1846" s="46"/>
      <c r="G1846" s="46"/>
      <c r="H1846" s="46"/>
      <c r="I1846" s="46"/>
      <c r="J1846" s="46"/>
      <c r="K1846" s="46"/>
    </row>
    <row r="1847" spans="1:11">
      <c r="A1847" s="45"/>
      <c r="B1847" s="45"/>
      <c r="C1847" s="45"/>
      <c r="D1847" s="46"/>
      <c r="E1847" s="46"/>
      <c r="F1847" s="46"/>
      <c r="G1847" s="46"/>
      <c r="H1847" s="46"/>
      <c r="I1847" s="46"/>
      <c r="J1847" s="46"/>
      <c r="K1847" s="46"/>
    </row>
    <row r="1848" spans="1:11">
      <c r="A1848" s="45"/>
      <c r="B1848" s="45"/>
      <c r="C1848" s="45"/>
      <c r="D1848" s="46"/>
      <c r="E1848" s="46"/>
      <c r="F1848" s="46"/>
      <c r="G1848" s="46"/>
      <c r="H1848" s="46"/>
      <c r="I1848" s="46"/>
      <c r="J1848" s="46"/>
      <c r="K1848" s="46"/>
    </row>
    <row r="1849" spans="1:11">
      <c r="A1849" s="45"/>
      <c r="B1849" s="45"/>
      <c r="C1849" s="45"/>
      <c r="D1849" s="46"/>
      <c r="E1849" s="46"/>
      <c r="F1849" s="46"/>
      <c r="G1849" s="46"/>
      <c r="H1849" s="46"/>
      <c r="I1849" s="46"/>
      <c r="J1849" s="46"/>
      <c r="K1849" s="46"/>
    </row>
    <row r="1850" spans="1:11">
      <c r="A1850" s="45"/>
      <c r="B1850" s="45"/>
      <c r="C1850" s="45"/>
      <c r="D1850" s="46"/>
      <c r="E1850" s="46"/>
      <c r="F1850" s="46"/>
      <c r="G1850" s="46"/>
      <c r="H1850" s="46"/>
      <c r="I1850" s="46"/>
      <c r="J1850" s="46"/>
      <c r="K1850" s="46"/>
    </row>
    <row r="1851" spans="1:11">
      <c r="A1851" s="45"/>
      <c r="B1851" s="45"/>
      <c r="C1851" s="45"/>
      <c r="D1851" s="46"/>
      <c r="E1851" s="46"/>
      <c r="F1851" s="46"/>
      <c r="G1851" s="46"/>
      <c r="H1851" s="46"/>
      <c r="I1851" s="46"/>
      <c r="J1851" s="46"/>
      <c r="K1851" s="46"/>
    </row>
    <row r="1852" spans="1:11">
      <c r="A1852" s="45"/>
      <c r="B1852" s="45"/>
      <c r="C1852" s="45"/>
      <c r="D1852" s="46"/>
      <c r="E1852" s="46"/>
      <c r="F1852" s="46"/>
      <c r="G1852" s="46"/>
      <c r="H1852" s="46"/>
      <c r="I1852" s="46"/>
      <c r="J1852" s="46"/>
      <c r="K1852" s="46"/>
    </row>
    <row r="1853" spans="1:11">
      <c r="A1853" s="45"/>
      <c r="B1853" s="45"/>
      <c r="C1853" s="45"/>
      <c r="D1853" s="46"/>
      <c r="E1853" s="46"/>
      <c r="F1853" s="46"/>
      <c r="G1853" s="46"/>
      <c r="H1853" s="46"/>
      <c r="I1853" s="46"/>
      <c r="J1853" s="46"/>
      <c r="K1853" s="46"/>
    </row>
    <row r="1854" spans="1:11">
      <c r="A1854" s="45"/>
      <c r="B1854" s="45"/>
      <c r="C1854" s="45"/>
      <c r="D1854" s="46"/>
      <c r="E1854" s="46"/>
      <c r="F1854" s="46"/>
      <c r="G1854" s="46"/>
      <c r="H1854" s="46"/>
      <c r="I1854" s="46"/>
      <c r="J1854" s="46"/>
      <c r="K1854" s="46"/>
    </row>
    <row r="1855" spans="1:11">
      <c r="A1855" s="45"/>
      <c r="B1855" s="45"/>
      <c r="C1855" s="45"/>
      <c r="D1855" s="46"/>
      <c r="E1855" s="46"/>
      <c r="F1855" s="46"/>
      <c r="G1855" s="46"/>
      <c r="H1855" s="46"/>
      <c r="I1855" s="46"/>
      <c r="J1855" s="46"/>
      <c r="K1855" s="46"/>
    </row>
    <row r="1856" spans="1:11">
      <c r="A1856" s="45"/>
      <c r="B1856" s="45"/>
      <c r="C1856" s="45"/>
      <c r="D1856" s="46"/>
      <c r="E1856" s="46"/>
      <c r="F1856" s="46"/>
      <c r="G1856" s="46"/>
      <c r="H1856" s="46"/>
      <c r="I1856" s="46"/>
      <c r="J1856" s="46"/>
      <c r="K1856" s="46"/>
    </row>
    <row r="1857" spans="1:11">
      <c r="A1857" s="45"/>
      <c r="B1857" s="45"/>
      <c r="C1857" s="45"/>
      <c r="D1857" s="46"/>
      <c r="E1857" s="46"/>
      <c r="F1857" s="46"/>
      <c r="G1857" s="46"/>
      <c r="H1857" s="46"/>
      <c r="I1857" s="46"/>
      <c r="J1857" s="46"/>
      <c r="K1857" s="46"/>
    </row>
    <row r="1858" spans="1:11">
      <c r="A1858" s="45"/>
      <c r="B1858" s="45"/>
      <c r="C1858" s="45"/>
      <c r="D1858" s="46"/>
      <c r="E1858" s="46"/>
      <c r="F1858" s="46"/>
      <c r="G1858" s="46"/>
      <c r="H1858" s="46"/>
      <c r="I1858" s="46"/>
      <c r="J1858" s="46"/>
      <c r="K1858" s="46"/>
    </row>
    <row r="1859" spans="1:11">
      <c r="A1859" s="45"/>
      <c r="B1859" s="45"/>
      <c r="C1859" s="45"/>
      <c r="D1859" s="46"/>
      <c r="E1859" s="46"/>
      <c r="F1859" s="46"/>
      <c r="G1859" s="46"/>
      <c r="H1859" s="46"/>
      <c r="I1859" s="46"/>
      <c r="J1859" s="46"/>
      <c r="K1859" s="46"/>
    </row>
    <row r="1860" spans="1:11">
      <c r="A1860" s="45"/>
      <c r="B1860" s="45"/>
      <c r="C1860" s="45"/>
      <c r="D1860" s="46"/>
      <c r="E1860" s="46"/>
      <c r="F1860" s="46"/>
      <c r="G1860" s="46"/>
      <c r="H1860" s="46"/>
      <c r="I1860" s="46"/>
      <c r="J1860" s="46"/>
      <c r="K1860" s="46"/>
    </row>
    <row r="1861" spans="1:11">
      <c r="A1861" s="45"/>
      <c r="B1861" s="45"/>
      <c r="C1861" s="45"/>
      <c r="D1861" s="46"/>
      <c r="E1861" s="46"/>
      <c r="F1861" s="46"/>
      <c r="G1861" s="46"/>
      <c r="H1861" s="46"/>
      <c r="I1861" s="46"/>
      <c r="J1861" s="46"/>
      <c r="K1861" s="46"/>
    </row>
    <row r="1862" spans="1:11">
      <c r="A1862" s="45"/>
      <c r="B1862" s="45"/>
      <c r="C1862" s="45"/>
      <c r="D1862" s="46"/>
      <c r="E1862" s="46"/>
      <c r="F1862" s="46"/>
      <c r="G1862" s="46"/>
      <c r="H1862" s="46"/>
      <c r="I1862" s="46"/>
      <c r="J1862" s="46"/>
      <c r="K1862" s="46"/>
    </row>
    <row r="1863" spans="1:11">
      <c r="A1863" s="45"/>
      <c r="B1863" s="45"/>
      <c r="C1863" s="45"/>
      <c r="D1863" s="46"/>
      <c r="E1863" s="46"/>
      <c r="F1863" s="46"/>
      <c r="G1863" s="46"/>
      <c r="H1863" s="46"/>
      <c r="I1863" s="46"/>
      <c r="J1863" s="46"/>
      <c r="K1863" s="46"/>
    </row>
    <row r="1864" spans="1:11">
      <c r="A1864" s="45"/>
      <c r="B1864" s="45"/>
      <c r="C1864" s="45"/>
      <c r="D1864" s="46"/>
      <c r="E1864" s="46"/>
      <c r="F1864" s="46"/>
      <c r="G1864" s="46"/>
      <c r="H1864" s="46"/>
      <c r="I1864" s="46"/>
      <c r="J1864" s="46"/>
      <c r="K1864" s="46"/>
    </row>
    <row r="1865" spans="1:11">
      <c r="A1865" s="45"/>
      <c r="B1865" s="45"/>
      <c r="C1865" s="45"/>
      <c r="D1865" s="46"/>
      <c r="E1865" s="46"/>
      <c r="F1865" s="46"/>
      <c r="G1865" s="46"/>
      <c r="H1865" s="46"/>
      <c r="I1865" s="46"/>
      <c r="J1865" s="46"/>
      <c r="K1865" s="46"/>
    </row>
    <row r="1866" spans="1:11">
      <c r="A1866" s="45"/>
      <c r="B1866" s="45"/>
      <c r="C1866" s="45"/>
      <c r="D1866" s="46"/>
      <c r="E1866" s="46"/>
      <c r="F1866" s="46"/>
      <c r="G1866" s="46"/>
      <c r="H1866" s="46"/>
      <c r="I1866" s="46"/>
      <c r="J1866" s="46"/>
      <c r="K1866" s="46"/>
    </row>
    <row r="1867" spans="1:11">
      <c r="A1867" s="45"/>
      <c r="B1867" s="45"/>
      <c r="C1867" s="45"/>
      <c r="D1867" s="46"/>
      <c r="E1867" s="46"/>
      <c r="F1867" s="46"/>
      <c r="G1867" s="46"/>
      <c r="H1867" s="46"/>
      <c r="I1867" s="46"/>
      <c r="J1867" s="46"/>
      <c r="K1867" s="46"/>
    </row>
    <row r="1868" spans="1:11">
      <c r="A1868" s="45"/>
      <c r="B1868" s="45"/>
      <c r="C1868" s="45"/>
      <c r="D1868" s="46"/>
      <c r="E1868" s="46"/>
      <c r="F1868" s="46"/>
      <c r="G1868" s="46"/>
      <c r="H1868" s="46"/>
      <c r="I1868" s="46"/>
      <c r="J1868" s="46"/>
      <c r="K1868" s="46"/>
    </row>
    <row r="1869" spans="1:11">
      <c r="A1869" s="45"/>
      <c r="B1869" s="45"/>
      <c r="C1869" s="45"/>
      <c r="D1869" s="46"/>
      <c r="E1869" s="46"/>
      <c r="F1869" s="46"/>
      <c r="G1869" s="46"/>
      <c r="H1869" s="46"/>
      <c r="I1869" s="46"/>
      <c r="J1869" s="46"/>
      <c r="K1869" s="46"/>
    </row>
    <row r="1870" spans="1:11">
      <c r="A1870" s="45"/>
      <c r="B1870" s="45"/>
      <c r="C1870" s="45"/>
      <c r="D1870" s="46"/>
      <c r="E1870" s="46"/>
      <c r="F1870" s="46"/>
      <c r="G1870" s="46"/>
      <c r="H1870" s="46"/>
      <c r="I1870" s="46"/>
      <c r="J1870" s="46"/>
      <c r="K1870" s="46"/>
    </row>
    <row r="1871" spans="1:11">
      <c r="A1871" s="45"/>
      <c r="B1871" s="45"/>
      <c r="C1871" s="45"/>
      <c r="D1871" s="46"/>
      <c r="E1871" s="46"/>
      <c r="F1871" s="46"/>
      <c r="G1871" s="46"/>
      <c r="H1871" s="46"/>
      <c r="I1871" s="46"/>
      <c r="J1871" s="46"/>
      <c r="K1871" s="46"/>
    </row>
    <row r="1872" spans="1:11">
      <c r="A1872" s="45"/>
      <c r="B1872" s="45"/>
      <c r="C1872" s="45"/>
      <c r="D1872" s="46"/>
      <c r="E1872" s="46"/>
      <c r="F1872" s="46"/>
      <c r="G1872" s="46"/>
      <c r="H1872" s="46"/>
      <c r="I1872" s="46"/>
      <c r="J1872" s="46"/>
      <c r="K1872" s="46"/>
    </row>
    <row r="1873" spans="1:11">
      <c r="A1873" s="45"/>
      <c r="B1873" s="45"/>
      <c r="C1873" s="45"/>
      <c r="D1873" s="46"/>
      <c r="E1873" s="46"/>
      <c r="F1873" s="46"/>
      <c r="G1873" s="46"/>
      <c r="H1873" s="46"/>
      <c r="I1873" s="46"/>
      <c r="J1873" s="46"/>
      <c r="K1873" s="46"/>
    </row>
    <row r="1874" spans="1:11">
      <c r="A1874" s="45"/>
      <c r="B1874" s="45"/>
      <c r="C1874" s="45"/>
      <c r="D1874" s="46"/>
      <c r="E1874" s="46"/>
      <c r="F1874" s="46"/>
      <c r="G1874" s="46"/>
      <c r="H1874" s="46"/>
      <c r="I1874" s="46"/>
      <c r="J1874" s="46"/>
      <c r="K1874" s="46"/>
    </row>
    <row r="1875" spans="1:11">
      <c r="A1875" s="45"/>
      <c r="B1875" s="45"/>
      <c r="C1875" s="45"/>
      <c r="D1875" s="46"/>
      <c r="E1875" s="46"/>
      <c r="F1875" s="46"/>
      <c r="G1875" s="46"/>
      <c r="H1875" s="46"/>
      <c r="I1875" s="46"/>
      <c r="J1875" s="46"/>
      <c r="K1875" s="46"/>
    </row>
    <row r="1876" spans="1:11">
      <c r="A1876" s="45"/>
      <c r="B1876" s="45"/>
      <c r="C1876" s="45"/>
      <c r="D1876" s="46"/>
      <c r="E1876" s="46"/>
      <c r="F1876" s="46"/>
      <c r="G1876" s="46"/>
      <c r="H1876" s="46"/>
      <c r="I1876" s="46"/>
      <c r="J1876" s="46"/>
      <c r="K1876" s="46"/>
    </row>
    <row r="1877" spans="1:11">
      <c r="A1877" s="45"/>
      <c r="B1877" s="45"/>
      <c r="C1877" s="45"/>
      <c r="D1877" s="46"/>
      <c r="E1877" s="46"/>
      <c r="F1877" s="46"/>
      <c r="G1877" s="46"/>
      <c r="H1877" s="46"/>
      <c r="I1877" s="46"/>
      <c r="J1877" s="46"/>
      <c r="K1877" s="46"/>
    </row>
    <row r="1878" spans="1:11">
      <c r="A1878" s="45"/>
      <c r="B1878" s="45"/>
      <c r="C1878" s="45"/>
      <c r="D1878" s="46"/>
      <c r="E1878" s="46"/>
      <c r="F1878" s="46"/>
      <c r="G1878" s="46"/>
      <c r="H1878" s="46"/>
      <c r="I1878" s="46"/>
      <c r="J1878" s="46"/>
      <c r="K1878" s="46"/>
    </row>
    <row r="1879" spans="1:11">
      <c r="A1879" s="45"/>
      <c r="B1879" s="45"/>
      <c r="C1879" s="45"/>
      <c r="D1879" s="46"/>
      <c r="E1879" s="46"/>
      <c r="F1879" s="46"/>
      <c r="G1879" s="46"/>
      <c r="H1879" s="46"/>
      <c r="I1879" s="46"/>
      <c r="J1879" s="46"/>
      <c r="K1879" s="46"/>
    </row>
    <row r="1880" spans="1:11">
      <c r="A1880" s="45"/>
      <c r="B1880" s="45"/>
      <c r="C1880" s="45"/>
      <c r="D1880" s="46"/>
      <c r="E1880" s="46"/>
      <c r="F1880" s="46"/>
      <c r="G1880" s="46"/>
      <c r="H1880" s="46"/>
      <c r="I1880" s="46"/>
      <c r="J1880" s="46"/>
      <c r="K1880" s="46"/>
    </row>
    <row r="1881" spans="1:11">
      <c r="A1881" s="45"/>
      <c r="B1881" s="45"/>
      <c r="C1881" s="45"/>
      <c r="D1881" s="46"/>
      <c r="E1881" s="46"/>
      <c r="F1881" s="46"/>
      <c r="G1881" s="46"/>
      <c r="H1881" s="46"/>
      <c r="I1881" s="46"/>
      <c r="J1881" s="46"/>
      <c r="K1881" s="46"/>
    </row>
    <row r="1882" spans="1:11">
      <c r="A1882" s="45"/>
      <c r="B1882" s="45"/>
      <c r="C1882" s="45"/>
      <c r="D1882" s="46"/>
      <c r="E1882" s="46"/>
      <c r="F1882" s="46"/>
      <c r="G1882" s="46"/>
      <c r="H1882" s="46"/>
      <c r="I1882" s="46"/>
      <c r="J1882" s="46"/>
      <c r="K1882" s="46"/>
    </row>
    <row r="1883" spans="1:11">
      <c r="A1883" s="45"/>
      <c r="B1883" s="45"/>
      <c r="C1883" s="45"/>
      <c r="D1883" s="46"/>
      <c r="E1883" s="46"/>
      <c r="F1883" s="46"/>
      <c r="G1883" s="46"/>
      <c r="H1883" s="46"/>
      <c r="I1883" s="46"/>
      <c r="J1883" s="46"/>
      <c r="K1883" s="46"/>
    </row>
    <row r="1884" spans="1:11">
      <c r="A1884" s="45"/>
      <c r="B1884" s="45"/>
      <c r="C1884" s="45"/>
      <c r="D1884" s="46"/>
      <c r="E1884" s="46"/>
      <c r="F1884" s="46"/>
      <c r="G1884" s="46"/>
      <c r="H1884" s="46"/>
      <c r="I1884" s="46"/>
      <c r="J1884" s="46"/>
      <c r="K1884" s="46"/>
    </row>
    <row r="1885" spans="1:11">
      <c r="A1885" s="45"/>
      <c r="B1885" s="45"/>
      <c r="C1885" s="45"/>
      <c r="D1885" s="46"/>
      <c r="E1885" s="46"/>
      <c r="F1885" s="46"/>
      <c r="G1885" s="46"/>
      <c r="H1885" s="46"/>
      <c r="I1885" s="46"/>
      <c r="J1885" s="46"/>
      <c r="K1885" s="46"/>
    </row>
    <row r="1886" spans="1:11">
      <c r="A1886" s="45"/>
      <c r="B1886" s="45"/>
      <c r="C1886" s="45"/>
      <c r="D1886" s="46"/>
      <c r="E1886" s="46"/>
      <c r="F1886" s="46"/>
      <c r="G1886" s="46"/>
      <c r="H1886" s="46"/>
      <c r="I1886" s="46"/>
      <c r="J1886" s="46"/>
      <c r="K1886" s="46"/>
    </row>
    <row r="1887" spans="1:11">
      <c r="A1887" s="45"/>
      <c r="B1887" s="45"/>
      <c r="C1887" s="45"/>
      <c r="D1887" s="46"/>
      <c r="E1887" s="46"/>
      <c r="F1887" s="46"/>
      <c r="G1887" s="46"/>
      <c r="H1887" s="46"/>
      <c r="I1887" s="46"/>
      <c r="J1887" s="46"/>
      <c r="K1887" s="46"/>
    </row>
    <row r="1888" spans="1:11">
      <c r="A1888" s="45"/>
      <c r="B1888" s="45"/>
      <c r="C1888" s="45"/>
      <c r="D1888" s="46"/>
      <c r="E1888" s="46"/>
      <c r="F1888" s="46"/>
      <c r="G1888" s="46"/>
      <c r="H1888" s="46"/>
      <c r="I1888" s="46"/>
      <c r="J1888" s="46"/>
      <c r="K1888" s="46"/>
    </row>
    <row r="1889" spans="1:11">
      <c r="A1889" s="45"/>
      <c r="B1889" s="45"/>
      <c r="C1889" s="45"/>
      <c r="D1889" s="46"/>
      <c r="E1889" s="46"/>
      <c r="F1889" s="46"/>
      <c r="G1889" s="46"/>
      <c r="H1889" s="46"/>
      <c r="I1889" s="46"/>
      <c r="J1889" s="46"/>
      <c r="K1889" s="46"/>
    </row>
    <row r="1890" spans="1:11">
      <c r="A1890" s="45"/>
      <c r="B1890" s="45"/>
      <c r="C1890" s="45"/>
      <c r="D1890" s="46"/>
      <c r="E1890" s="46"/>
      <c r="F1890" s="46"/>
      <c r="G1890" s="46"/>
      <c r="H1890" s="46"/>
      <c r="I1890" s="46"/>
      <c r="J1890" s="46"/>
      <c r="K1890" s="46"/>
    </row>
    <row r="1891" spans="1:11">
      <c r="A1891" s="45"/>
      <c r="B1891" s="45"/>
      <c r="C1891" s="45"/>
      <c r="D1891" s="46"/>
      <c r="E1891" s="46"/>
      <c r="F1891" s="46"/>
      <c r="G1891" s="46"/>
      <c r="H1891" s="46"/>
      <c r="I1891" s="46"/>
      <c r="J1891" s="46"/>
      <c r="K1891" s="46"/>
    </row>
    <row r="1892" spans="1:11">
      <c r="A1892" s="45"/>
      <c r="B1892" s="45"/>
      <c r="C1892" s="45"/>
      <c r="D1892" s="46"/>
      <c r="E1892" s="46"/>
      <c r="F1892" s="46"/>
      <c r="G1892" s="46"/>
      <c r="H1892" s="46"/>
      <c r="I1892" s="46"/>
      <c r="J1892" s="46"/>
      <c r="K1892" s="46"/>
    </row>
    <row r="1893" spans="1:11">
      <c r="A1893" s="45"/>
      <c r="B1893" s="45"/>
      <c r="C1893" s="45"/>
      <c r="D1893" s="46"/>
      <c r="E1893" s="46"/>
      <c r="F1893" s="46"/>
      <c r="G1893" s="46"/>
      <c r="H1893" s="46"/>
      <c r="I1893" s="46"/>
      <c r="J1893" s="46"/>
      <c r="K1893" s="46"/>
    </row>
    <row r="1894" spans="1:11">
      <c r="A1894" s="45"/>
      <c r="B1894" s="45"/>
      <c r="C1894" s="45"/>
      <c r="D1894" s="46"/>
      <c r="E1894" s="46"/>
      <c r="F1894" s="46"/>
      <c r="G1894" s="46"/>
      <c r="H1894" s="46"/>
      <c r="I1894" s="46"/>
      <c r="J1894" s="46"/>
      <c r="K1894" s="46"/>
    </row>
    <row r="1895" spans="1:11">
      <c r="A1895" s="45"/>
      <c r="B1895" s="45"/>
      <c r="C1895" s="45"/>
      <c r="D1895" s="46"/>
      <c r="E1895" s="46"/>
      <c r="F1895" s="46"/>
      <c r="G1895" s="46"/>
      <c r="H1895" s="46"/>
      <c r="I1895" s="46"/>
      <c r="J1895" s="46"/>
      <c r="K1895" s="46"/>
    </row>
    <row r="1896" spans="1:11">
      <c r="A1896" s="45"/>
      <c r="B1896" s="45"/>
      <c r="C1896" s="45"/>
      <c r="D1896" s="46"/>
      <c r="E1896" s="46"/>
      <c r="F1896" s="46"/>
      <c r="G1896" s="46"/>
      <c r="H1896" s="46"/>
      <c r="I1896" s="46"/>
      <c r="J1896" s="46"/>
      <c r="K1896" s="46"/>
    </row>
    <row r="1897" spans="1:11">
      <c r="A1897" s="45"/>
      <c r="B1897" s="45"/>
      <c r="C1897" s="45"/>
      <c r="D1897" s="46"/>
      <c r="E1897" s="46"/>
      <c r="F1897" s="46"/>
      <c r="G1897" s="46"/>
      <c r="H1897" s="46"/>
      <c r="I1897" s="46"/>
      <c r="J1897" s="46"/>
      <c r="K1897" s="46"/>
    </row>
    <row r="1898" spans="1:11">
      <c r="A1898" s="45"/>
      <c r="B1898" s="45"/>
      <c r="C1898" s="45"/>
      <c r="D1898" s="46"/>
      <c r="E1898" s="46"/>
      <c r="F1898" s="46"/>
      <c r="G1898" s="46"/>
      <c r="H1898" s="46"/>
      <c r="I1898" s="46"/>
      <c r="J1898" s="46"/>
      <c r="K1898" s="46"/>
    </row>
    <row r="1899" spans="1:11">
      <c r="A1899" s="45"/>
      <c r="B1899" s="45"/>
      <c r="C1899" s="45"/>
      <c r="D1899" s="46"/>
      <c r="E1899" s="46"/>
      <c r="F1899" s="46"/>
      <c r="G1899" s="46"/>
      <c r="H1899" s="46"/>
      <c r="I1899" s="46"/>
      <c r="J1899" s="46"/>
      <c r="K1899" s="46"/>
    </row>
    <row r="1900" spans="1:11">
      <c r="A1900" s="45"/>
      <c r="B1900" s="45"/>
      <c r="C1900" s="45"/>
      <c r="D1900" s="46"/>
      <c r="E1900" s="46"/>
      <c r="F1900" s="46"/>
      <c r="G1900" s="46"/>
      <c r="H1900" s="46"/>
      <c r="I1900" s="46"/>
      <c r="J1900" s="46"/>
      <c r="K1900" s="46"/>
    </row>
    <row r="1901" spans="1:11">
      <c r="A1901" s="45"/>
      <c r="B1901" s="45"/>
      <c r="C1901" s="45"/>
      <c r="D1901" s="46"/>
      <c r="E1901" s="46"/>
      <c r="F1901" s="46"/>
      <c r="G1901" s="46"/>
      <c r="H1901" s="46"/>
      <c r="I1901" s="46"/>
      <c r="J1901" s="46"/>
      <c r="K1901" s="46"/>
    </row>
    <row r="1902" spans="1:11">
      <c r="A1902" s="45"/>
      <c r="B1902" s="45"/>
      <c r="C1902" s="45"/>
      <c r="D1902" s="46"/>
      <c r="E1902" s="46"/>
      <c r="F1902" s="46"/>
      <c r="G1902" s="46"/>
      <c r="H1902" s="46"/>
      <c r="I1902" s="46"/>
      <c r="J1902" s="46"/>
      <c r="K1902" s="46"/>
    </row>
    <row r="1903" spans="1:11">
      <c r="A1903" s="45"/>
      <c r="B1903" s="45"/>
      <c r="C1903" s="45"/>
      <c r="D1903" s="46"/>
      <c r="E1903" s="46"/>
      <c r="F1903" s="46"/>
      <c r="G1903" s="46"/>
      <c r="H1903" s="46"/>
      <c r="I1903" s="46"/>
      <c r="J1903" s="46"/>
      <c r="K1903" s="46"/>
    </row>
    <row r="1904" spans="1:11">
      <c r="A1904" s="45"/>
      <c r="B1904" s="45"/>
      <c r="C1904" s="45"/>
      <c r="D1904" s="46"/>
      <c r="E1904" s="46"/>
      <c r="F1904" s="46"/>
      <c r="G1904" s="46"/>
      <c r="H1904" s="46"/>
      <c r="I1904" s="46"/>
      <c r="J1904" s="46"/>
      <c r="K1904" s="46"/>
    </row>
    <row r="1905" spans="1:11">
      <c r="A1905" s="45"/>
      <c r="B1905" s="45"/>
      <c r="C1905" s="45"/>
      <c r="D1905" s="46"/>
      <c r="E1905" s="46"/>
      <c r="F1905" s="46"/>
      <c r="G1905" s="46"/>
      <c r="H1905" s="46"/>
      <c r="I1905" s="46"/>
      <c r="J1905" s="46"/>
      <c r="K1905" s="46"/>
    </row>
    <row r="1906" spans="1:11">
      <c r="A1906" s="45"/>
      <c r="B1906" s="45"/>
      <c r="C1906" s="45"/>
      <c r="D1906" s="46"/>
      <c r="E1906" s="46"/>
      <c r="F1906" s="46"/>
      <c r="G1906" s="46"/>
      <c r="H1906" s="46"/>
      <c r="I1906" s="46"/>
      <c r="J1906" s="46"/>
      <c r="K1906" s="46"/>
    </row>
    <row r="1907" spans="1:11">
      <c r="A1907" s="45"/>
      <c r="B1907" s="45"/>
      <c r="C1907" s="45"/>
      <c r="D1907" s="46"/>
      <c r="E1907" s="46"/>
      <c r="F1907" s="46"/>
      <c r="G1907" s="46"/>
      <c r="H1907" s="46"/>
      <c r="I1907" s="46"/>
      <c r="J1907" s="46"/>
      <c r="K1907" s="46"/>
    </row>
    <row r="1908" spans="1:11">
      <c r="A1908" s="45"/>
      <c r="B1908" s="45"/>
      <c r="C1908" s="45"/>
      <c r="D1908" s="46"/>
      <c r="E1908" s="46"/>
      <c r="F1908" s="46"/>
      <c r="G1908" s="46"/>
      <c r="H1908" s="46"/>
      <c r="I1908" s="46"/>
      <c r="J1908" s="46"/>
      <c r="K1908" s="46"/>
    </row>
    <row r="1909" spans="1:11">
      <c r="A1909" s="45"/>
      <c r="B1909" s="45"/>
      <c r="C1909" s="45"/>
      <c r="D1909" s="46"/>
      <c r="E1909" s="46"/>
      <c r="F1909" s="46"/>
      <c r="G1909" s="46"/>
      <c r="H1909" s="46"/>
      <c r="I1909" s="46"/>
      <c r="J1909" s="46"/>
      <c r="K1909" s="46"/>
    </row>
    <row r="1910" spans="1:11">
      <c r="A1910" s="45"/>
      <c r="B1910" s="45"/>
      <c r="C1910" s="45"/>
      <c r="D1910" s="46"/>
      <c r="E1910" s="46"/>
      <c r="F1910" s="46"/>
      <c r="G1910" s="46"/>
      <c r="H1910" s="46"/>
      <c r="I1910" s="46"/>
      <c r="J1910" s="46"/>
      <c r="K1910" s="46"/>
    </row>
    <row r="1911" spans="1:11">
      <c r="A1911" s="45"/>
      <c r="B1911" s="45"/>
      <c r="C1911" s="45"/>
      <c r="D1911" s="46"/>
      <c r="E1911" s="46"/>
      <c r="F1911" s="46"/>
      <c r="G1911" s="46"/>
      <c r="H1911" s="46"/>
      <c r="I1911" s="46"/>
      <c r="J1911" s="46"/>
      <c r="K1911" s="46"/>
    </row>
    <row r="1912" spans="1:11">
      <c r="A1912" s="45"/>
      <c r="B1912" s="45"/>
      <c r="C1912" s="45"/>
      <c r="D1912" s="46"/>
      <c r="E1912" s="46"/>
      <c r="F1912" s="46"/>
      <c r="G1912" s="46"/>
      <c r="H1912" s="46"/>
      <c r="I1912" s="46"/>
      <c r="J1912" s="46"/>
      <c r="K1912" s="46"/>
    </row>
    <row r="1913" spans="1:11">
      <c r="A1913" s="45"/>
      <c r="B1913" s="45"/>
      <c r="C1913" s="45"/>
      <c r="D1913" s="46"/>
      <c r="E1913" s="46"/>
      <c r="F1913" s="46"/>
      <c r="G1913" s="46"/>
      <c r="H1913" s="46"/>
      <c r="I1913" s="46"/>
      <c r="J1913" s="46"/>
      <c r="K1913" s="46"/>
    </row>
    <row r="1914" spans="1:11">
      <c r="A1914" s="45"/>
      <c r="B1914" s="45"/>
      <c r="C1914" s="45"/>
      <c r="D1914" s="46"/>
      <c r="E1914" s="46"/>
      <c r="F1914" s="46"/>
      <c r="G1914" s="46"/>
      <c r="H1914" s="46"/>
      <c r="I1914" s="46"/>
      <c r="J1914" s="46"/>
      <c r="K1914" s="46"/>
    </row>
    <row r="1915" spans="1:11">
      <c r="A1915" s="45"/>
      <c r="B1915" s="45"/>
      <c r="C1915" s="45"/>
      <c r="D1915" s="46"/>
      <c r="E1915" s="46"/>
      <c r="F1915" s="46"/>
      <c r="G1915" s="46"/>
      <c r="H1915" s="46"/>
      <c r="I1915" s="46"/>
      <c r="J1915" s="46"/>
      <c r="K1915" s="46"/>
    </row>
    <row r="1916" spans="1:11">
      <c r="A1916" s="45"/>
      <c r="B1916" s="45"/>
      <c r="C1916" s="45"/>
      <c r="D1916" s="46"/>
      <c r="E1916" s="46"/>
      <c r="F1916" s="46"/>
      <c r="G1916" s="46"/>
      <c r="H1916" s="46"/>
      <c r="I1916" s="46"/>
      <c r="J1916" s="46"/>
      <c r="K1916" s="46"/>
    </row>
    <row r="1917" spans="1:11">
      <c r="A1917" s="45"/>
      <c r="B1917" s="45"/>
      <c r="C1917" s="45"/>
      <c r="D1917" s="46"/>
      <c r="E1917" s="46"/>
      <c r="F1917" s="46"/>
      <c r="G1917" s="46"/>
      <c r="H1917" s="46"/>
      <c r="I1917" s="46"/>
      <c r="J1917" s="46"/>
      <c r="K1917" s="46"/>
    </row>
    <row r="1918" spans="1:11">
      <c r="A1918" s="45"/>
      <c r="B1918" s="45"/>
      <c r="C1918" s="45"/>
      <c r="D1918" s="46"/>
      <c r="E1918" s="46"/>
      <c r="F1918" s="46"/>
      <c r="G1918" s="46"/>
      <c r="H1918" s="46"/>
      <c r="I1918" s="46"/>
      <c r="J1918" s="46"/>
      <c r="K1918" s="46"/>
    </row>
    <row r="1919" spans="1:11">
      <c r="A1919" s="45"/>
      <c r="B1919" s="45"/>
      <c r="C1919" s="45"/>
      <c r="D1919" s="46"/>
      <c r="E1919" s="46"/>
      <c r="F1919" s="46"/>
      <c r="G1919" s="46"/>
      <c r="H1919" s="46"/>
      <c r="I1919" s="46"/>
      <c r="J1919" s="46"/>
      <c r="K1919" s="46"/>
    </row>
    <row r="1920" spans="1:11">
      <c r="A1920" s="45"/>
      <c r="B1920" s="45"/>
      <c r="C1920" s="45"/>
      <c r="D1920" s="46"/>
      <c r="E1920" s="46"/>
      <c r="F1920" s="46"/>
      <c r="G1920" s="46"/>
      <c r="H1920" s="46"/>
      <c r="I1920" s="46"/>
      <c r="J1920" s="46"/>
      <c r="K1920" s="46"/>
    </row>
    <row r="1921" spans="1:11">
      <c r="A1921" s="45"/>
      <c r="B1921" s="45"/>
      <c r="C1921" s="45"/>
      <c r="D1921" s="46"/>
      <c r="E1921" s="46"/>
      <c r="F1921" s="46"/>
      <c r="G1921" s="46"/>
      <c r="H1921" s="46"/>
      <c r="I1921" s="46"/>
      <c r="J1921" s="46"/>
      <c r="K1921" s="46"/>
    </row>
    <row r="1922" spans="1:11">
      <c r="A1922" s="45"/>
      <c r="B1922" s="45"/>
      <c r="C1922" s="45"/>
      <c r="D1922" s="46"/>
      <c r="E1922" s="46"/>
      <c r="F1922" s="46"/>
      <c r="G1922" s="46"/>
      <c r="H1922" s="46"/>
      <c r="I1922" s="46"/>
      <c r="J1922" s="46"/>
      <c r="K1922" s="46"/>
    </row>
    <row r="1923" spans="1:11">
      <c r="A1923" s="45"/>
      <c r="B1923" s="45"/>
      <c r="C1923" s="45"/>
      <c r="D1923" s="46"/>
      <c r="E1923" s="46"/>
      <c r="F1923" s="46"/>
      <c r="G1923" s="46"/>
      <c r="H1923" s="46"/>
      <c r="I1923" s="46"/>
      <c r="J1923" s="46"/>
      <c r="K1923" s="46"/>
    </row>
    <row r="1924" spans="1:11">
      <c r="A1924" s="45"/>
      <c r="B1924" s="45"/>
      <c r="C1924" s="45"/>
      <c r="D1924" s="46"/>
      <c r="E1924" s="46"/>
      <c r="F1924" s="46"/>
      <c r="G1924" s="46"/>
      <c r="H1924" s="46"/>
      <c r="I1924" s="46"/>
      <c r="J1924" s="46"/>
      <c r="K1924" s="46"/>
    </row>
    <row r="1925" spans="1:11">
      <c r="A1925" s="45"/>
      <c r="B1925" s="45"/>
      <c r="C1925" s="45"/>
      <c r="D1925" s="46"/>
      <c r="E1925" s="46"/>
      <c r="F1925" s="46"/>
      <c r="G1925" s="46"/>
      <c r="H1925" s="46"/>
      <c r="I1925" s="46"/>
      <c r="J1925" s="46"/>
      <c r="K1925" s="46"/>
    </row>
    <row r="1926" spans="1:11">
      <c r="A1926" s="45"/>
      <c r="B1926" s="45"/>
      <c r="C1926" s="45"/>
      <c r="D1926" s="46"/>
      <c r="E1926" s="46"/>
      <c r="F1926" s="46"/>
      <c r="G1926" s="46"/>
      <c r="H1926" s="46"/>
      <c r="I1926" s="46"/>
      <c r="J1926" s="46"/>
      <c r="K1926" s="46"/>
    </row>
    <row r="1927" spans="1:11">
      <c r="A1927" s="45"/>
      <c r="B1927" s="45"/>
      <c r="C1927" s="45"/>
      <c r="D1927" s="46"/>
      <c r="E1927" s="46"/>
      <c r="F1927" s="46"/>
      <c r="G1927" s="46"/>
      <c r="H1927" s="46"/>
      <c r="I1927" s="46"/>
      <c r="J1927" s="46"/>
      <c r="K1927" s="46"/>
    </row>
    <row r="1928" spans="1:11">
      <c r="A1928" s="45"/>
      <c r="B1928" s="45"/>
      <c r="C1928" s="45"/>
      <c r="D1928" s="46"/>
      <c r="E1928" s="46"/>
      <c r="F1928" s="46"/>
      <c r="G1928" s="46"/>
      <c r="H1928" s="46"/>
      <c r="I1928" s="46"/>
      <c r="J1928" s="46"/>
      <c r="K1928" s="46"/>
    </row>
    <row r="1929" spans="1:11">
      <c r="A1929" s="45"/>
      <c r="B1929" s="45"/>
      <c r="C1929" s="45"/>
      <c r="D1929" s="46"/>
      <c r="E1929" s="46"/>
      <c r="F1929" s="46"/>
      <c r="G1929" s="46"/>
      <c r="H1929" s="46"/>
      <c r="I1929" s="46"/>
      <c r="J1929" s="46"/>
      <c r="K1929" s="46"/>
    </row>
    <row r="1930" spans="1:11">
      <c r="A1930" s="45"/>
      <c r="B1930" s="45"/>
      <c r="C1930" s="45"/>
      <c r="D1930" s="46"/>
      <c r="E1930" s="46"/>
      <c r="F1930" s="46"/>
      <c r="G1930" s="46"/>
      <c r="H1930" s="46"/>
      <c r="I1930" s="46"/>
      <c r="J1930" s="46"/>
      <c r="K1930" s="46"/>
    </row>
    <row r="1931" spans="1:11">
      <c r="A1931" s="45"/>
      <c r="B1931" s="45"/>
      <c r="C1931" s="45"/>
      <c r="D1931" s="46"/>
      <c r="E1931" s="46"/>
      <c r="F1931" s="46"/>
      <c r="G1931" s="46"/>
      <c r="H1931" s="46"/>
      <c r="I1931" s="46"/>
      <c r="J1931" s="46"/>
      <c r="K1931" s="46"/>
    </row>
    <row r="1932" spans="1:11">
      <c r="A1932" s="45"/>
      <c r="B1932" s="45"/>
      <c r="C1932" s="45"/>
      <c r="D1932" s="46"/>
      <c r="E1932" s="46"/>
      <c r="F1932" s="46"/>
      <c r="G1932" s="46"/>
      <c r="H1932" s="46"/>
      <c r="I1932" s="46"/>
      <c r="J1932" s="46"/>
      <c r="K1932" s="46"/>
    </row>
    <row r="1933" spans="1:11">
      <c r="A1933" s="45"/>
      <c r="B1933" s="45"/>
      <c r="C1933" s="45"/>
      <c r="D1933" s="46"/>
      <c r="E1933" s="46"/>
      <c r="F1933" s="46"/>
      <c r="G1933" s="46"/>
      <c r="H1933" s="46"/>
      <c r="I1933" s="46"/>
      <c r="J1933" s="46"/>
      <c r="K1933" s="46"/>
    </row>
    <row r="1934" spans="1:11">
      <c r="A1934" s="45"/>
      <c r="B1934" s="45"/>
      <c r="C1934" s="45"/>
      <c r="D1934" s="46"/>
      <c r="E1934" s="46"/>
      <c r="F1934" s="46"/>
      <c r="G1934" s="46"/>
      <c r="H1934" s="46"/>
      <c r="I1934" s="46"/>
      <c r="J1934" s="46"/>
      <c r="K1934" s="46"/>
    </row>
    <row r="1935" spans="1:11">
      <c r="A1935" s="45"/>
      <c r="B1935" s="45"/>
      <c r="C1935" s="45"/>
      <c r="D1935" s="46"/>
      <c r="E1935" s="46"/>
      <c r="F1935" s="46"/>
      <c r="G1935" s="46"/>
      <c r="H1935" s="46"/>
      <c r="I1935" s="46"/>
      <c r="J1935" s="46"/>
      <c r="K1935" s="46"/>
    </row>
    <row r="1936" spans="1:11">
      <c r="A1936" s="45"/>
      <c r="B1936" s="45"/>
      <c r="C1936" s="45"/>
      <c r="D1936" s="46"/>
      <c r="E1936" s="46"/>
      <c r="F1936" s="46"/>
      <c r="G1936" s="46"/>
      <c r="H1936" s="46"/>
      <c r="I1936" s="46"/>
      <c r="J1936" s="46"/>
      <c r="K1936" s="46"/>
    </row>
    <row r="1937" spans="1:11">
      <c r="A1937" s="45"/>
      <c r="B1937" s="45"/>
      <c r="C1937" s="45"/>
      <c r="D1937" s="46"/>
      <c r="E1937" s="46"/>
      <c r="F1937" s="46"/>
      <c r="G1937" s="46"/>
      <c r="H1937" s="46"/>
      <c r="I1937" s="46"/>
      <c r="J1937" s="46"/>
      <c r="K1937" s="46"/>
    </row>
    <row r="1938" spans="1:11">
      <c r="A1938" s="45"/>
      <c r="B1938" s="45"/>
      <c r="C1938" s="45"/>
      <c r="D1938" s="46"/>
      <c r="E1938" s="46"/>
      <c r="F1938" s="46"/>
      <c r="G1938" s="46"/>
      <c r="H1938" s="46"/>
      <c r="I1938" s="46"/>
      <c r="J1938" s="46"/>
      <c r="K1938" s="46"/>
    </row>
    <row r="1939" spans="1:11">
      <c r="A1939" s="45"/>
      <c r="B1939" s="45"/>
      <c r="C1939" s="45"/>
      <c r="D1939" s="46"/>
      <c r="E1939" s="46"/>
      <c r="F1939" s="46"/>
      <c r="G1939" s="46"/>
      <c r="H1939" s="46"/>
      <c r="I1939" s="46"/>
      <c r="J1939" s="46"/>
      <c r="K1939" s="46"/>
    </row>
    <row r="1940" spans="1:11">
      <c r="A1940" s="45"/>
      <c r="B1940" s="45"/>
      <c r="C1940" s="45"/>
      <c r="D1940" s="46"/>
      <c r="E1940" s="46"/>
      <c r="F1940" s="46"/>
      <c r="G1940" s="46"/>
      <c r="H1940" s="46"/>
      <c r="I1940" s="46"/>
      <c r="J1940" s="46"/>
      <c r="K1940" s="46"/>
    </row>
    <row r="1941" spans="1:11">
      <c r="A1941" s="45"/>
      <c r="B1941" s="45"/>
      <c r="C1941" s="45"/>
      <c r="D1941" s="46"/>
      <c r="E1941" s="46"/>
      <c r="F1941" s="46"/>
      <c r="G1941" s="46"/>
      <c r="H1941" s="46"/>
      <c r="I1941" s="46"/>
      <c r="J1941" s="46"/>
      <c r="K1941" s="46"/>
    </row>
    <row r="1942" spans="1:11">
      <c r="A1942" s="45"/>
      <c r="B1942" s="45"/>
      <c r="C1942" s="45"/>
      <c r="D1942" s="46"/>
      <c r="E1942" s="46"/>
      <c r="F1942" s="46"/>
      <c r="G1942" s="46"/>
      <c r="H1942" s="46"/>
      <c r="I1942" s="46"/>
      <c r="J1942" s="46"/>
      <c r="K1942" s="46"/>
    </row>
    <row r="1943" spans="1:11">
      <c r="A1943" s="45"/>
      <c r="B1943" s="45"/>
      <c r="C1943" s="45"/>
      <c r="D1943" s="46"/>
      <c r="E1943" s="46"/>
      <c r="F1943" s="46"/>
      <c r="G1943" s="46"/>
      <c r="H1943" s="46"/>
      <c r="I1943" s="46"/>
      <c r="J1943" s="46"/>
      <c r="K1943" s="46"/>
    </row>
    <row r="1944" spans="1:11">
      <c r="A1944" s="45"/>
      <c r="B1944" s="45"/>
      <c r="C1944" s="45"/>
      <c r="D1944" s="46"/>
      <c r="E1944" s="46"/>
      <c r="F1944" s="46"/>
      <c r="G1944" s="46"/>
      <c r="H1944" s="46"/>
      <c r="I1944" s="46"/>
      <c r="J1944" s="46"/>
      <c r="K1944" s="46"/>
    </row>
    <row r="1945" spans="1:11">
      <c r="A1945" s="45"/>
      <c r="B1945" s="45"/>
      <c r="C1945" s="45"/>
      <c r="D1945" s="46"/>
      <c r="E1945" s="46"/>
      <c r="F1945" s="46"/>
      <c r="G1945" s="46"/>
      <c r="H1945" s="46"/>
      <c r="I1945" s="46"/>
      <c r="J1945" s="46"/>
      <c r="K1945" s="46"/>
    </row>
    <row r="1946" spans="1:11">
      <c r="A1946" s="45"/>
      <c r="B1946" s="45"/>
      <c r="C1946" s="45"/>
      <c r="D1946" s="46"/>
      <c r="E1946" s="46"/>
      <c r="F1946" s="46"/>
      <c r="G1946" s="46"/>
      <c r="H1946" s="46"/>
      <c r="I1946" s="46"/>
      <c r="J1946" s="46"/>
      <c r="K1946" s="46"/>
    </row>
    <row r="1947" spans="1:11">
      <c r="A1947" s="45"/>
      <c r="B1947" s="45"/>
      <c r="C1947" s="45"/>
      <c r="D1947" s="46"/>
      <c r="E1947" s="46"/>
      <c r="F1947" s="46"/>
      <c r="G1947" s="46"/>
      <c r="H1947" s="46"/>
      <c r="I1947" s="46"/>
      <c r="J1947" s="46"/>
      <c r="K1947" s="46"/>
    </row>
    <row r="1948" spans="1:11">
      <c r="A1948" s="45"/>
      <c r="B1948" s="45"/>
      <c r="C1948" s="45"/>
      <c r="D1948" s="46"/>
      <c r="E1948" s="46"/>
      <c r="F1948" s="46"/>
      <c r="G1948" s="46"/>
      <c r="H1948" s="46"/>
      <c r="I1948" s="46"/>
      <c r="J1948" s="46"/>
      <c r="K1948" s="46"/>
    </row>
    <row r="1949" spans="1:11">
      <c r="A1949" s="45"/>
      <c r="B1949" s="45"/>
      <c r="C1949" s="45"/>
      <c r="D1949" s="46"/>
      <c r="E1949" s="46"/>
      <c r="F1949" s="46"/>
      <c r="G1949" s="46"/>
      <c r="H1949" s="46"/>
      <c r="I1949" s="46"/>
      <c r="J1949" s="46"/>
      <c r="K1949" s="46"/>
    </row>
    <row r="1950" spans="1:11">
      <c r="A1950" s="45"/>
      <c r="B1950" s="45"/>
      <c r="C1950" s="45"/>
      <c r="D1950" s="46"/>
      <c r="E1950" s="46"/>
      <c r="F1950" s="46"/>
      <c r="G1950" s="46"/>
      <c r="H1950" s="46"/>
      <c r="I1950" s="46"/>
      <c r="J1950" s="46"/>
      <c r="K1950" s="46"/>
    </row>
    <row r="1951" spans="1:11">
      <c r="A1951" s="45"/>
      <c r="B1951" s="45"/>
      <c r="C1951" s="45"/>
      <c r="D1951" s="46"/>
      <c r="E1951" s="46"/>
      <c r="F1951" s="46"/>
      <c r="G1951" s="46"/>
      <c r="H1951" s="46"/>
      <c r="I1951" s="46"/>
      <c r="J1951" s="46"/>
      <c r="K1951" s="46"/>
    </row>
    <row r="1952" spans="1:11">
      <c r="A1952" s="45"/>
      <c r="B1952" s="45"/>
      <c r="C1952" s="45"/>
      <c r="D1952" s="46"/>
      <c r="E1952" s="46"/>
      <c r="F1952" s="46"/>
      <c r="G1952" s="46"/>
      <c r="H1952" s="46"/>
      <c r="I1952" s="46"/>
      <c r="J1952" s="46"/>
      <c r="K1952" s="46"/>
    </row>
    <row r="1953" spans="1:11">
      <c r="A1953" s="45"/>
      <c r="B1953" s="45"/>
      <c r="C1953" s="45"/>
      <c r="D1953" s="46"/>
      <c r="E1953" s="46"/>
      <c r="F1953" s="46"/>
      <c r="G1953" s="46"/>
      <c r="H1953" s="46"/>
      <c r="I1953" s="46"/>
      <c r="J1953" s="46"/>
      <c r="K1953" s="46"/>
    </row>
    <row r="1954" spans="1:11">
      <c r="A1954" s="45"/>
      <c r="B1954" s="45"/>
      <c r="C1954" s="45"/>
      <c r="D1954" s="46"/>
      <c r="E1954" s="46"/>
      <c r="F1954" s="46"/>
      <c r="G1954" s="46"/>
      <c r="H1954" s="46"/>
      <c r="I1954" s="46"/>
      <c r="J1954" s="46"/>
      <c r="K1954" s="46"/>
    </row>
    <row r="1955" spans="1:11">
      <c r="A1955" s="45"/>
      <c r="B1955" s="45"/>
      <c r="C1955" s="45"/>
      <c r="D1955" s="46"/>
      <c r="E1955" s="46"/>
      <c r="F1955" s="46"/>
      <c r="G1955" s="46"/>
      <c r="H1955" s="46"/>
      <c r="I1955" s="46"/>
      <c r="J1955" s="46"/>
      <c r="K1955" s="46"/>
    </row>
    <row r="1956" spans="1:11">
      <c r="A1956" s="45"/>
      <c r="B1956" s="45"/>
      <c r="C1956" s="45"/>
      <c r="D1956" s="46"/>
      <c r="E1956" s="46"/>
      <c r="F1956" s="46"/>
      <c r="G1956" s="46"/>
      <c r="H1956" s="46"/>
      <c r="I1956" s="46"/>
      <c r="J1956" s="46"/>
      <c r="K1956" s="46"/>
    </row>
    <row r="1957" spans="1:11">
      <c r="A1957" s="45"/>
      <c r="B1957" s="45"/>
      <c r="C1957" s="45"/>
      <c r="D1957" s="46"/>
      <c r="E1957" s="46"/>
      <c r="F1957" s="46"/>
      <c r="G1957" s="46"/>
      <c r="H1957" s="46"/>
      <c r="I1957" s="46"/>
      <c r="J1957" s="46"/>
      <c r="K1957" s="46"/>
    </row>
    <row r="1958" spans="1:11">
      <c r="A1958" s="45"/>
      <c r="B1958" s="45"/>
      <c r="C1958" s="45"/>
      <c r="D1958" s="46"/>
      <c r="E1958" s="46"/>
      <c r="F1958" s="46"/>
      <c r="G1958" s="46"/>
      <c r="H1958" s="46"/>
      <c r="I1958" s="46"/>
      <c r="J1958" s="46"/>
      <c r="K1958" s="46"/>
    </row>
    <row r="1959" spans="1:11">
      <c r="A1959" s="45"/>
      <c r="B1959" s="45"/>
      <c r="C1959" s="45"/>
      <c r="D1959" s="46"/>
      <c r="E1959" s="46"/>
      <c r="F1959" s="46"/>
      <c r="G1959" s="46"/>
      <c r="H1959" s="46"/>
      <c r="I1959" s="46"/>
      <c r="J1959" s="46"/>
      <c r="K1959" s="46"/>
    </row>
    <row r="1960" spans="1:11">
      <c r="A1960" s="45"/>
      <c r="B1960" s="45"/>
      <c r="C1960" s="45"/>
      <c r="D1960" s="46"/>
      <c r="E1960" s="46"/>
      <c r="F1960" s="46"/>
      <c r="G1960" s="46"/>
      <c r="H1960" s="46"/>
      <c r="I1960" s="46"/>
      <c r="J1960" s="46"/>
      <c r="K1960" s="46"/>
    </row>
    <row r="1961" spans="1:11">
      <c r="A1961" s="45"/>
      <c r="B1961" s="45"/>
      <c r="C1961" s="45"/>
      <c r="D1961" s="46"/>
      <c r="E1961" s="46"/>
      <c r="F1961" s="46"/>
      <c r="G1961" s="46"/>
      <c r="H1961" s="46"/>
      <c r="I1961" s="46"/>
      <c r="J1961" s="46"/>
      <c r="K1961" s="46"/>
    </row>
    <row r="1962" spans="1:11">
      <c r="A1962" s="45"/>
      <c r="B1962" s="45"/>
      <c r="C1962" s="45"/>
      <c r="D1962" s="46"/>
      <c r="E1962" s="46"/>
      <c r="F1962" s="46"/>
      <c r="G1962" s="46"/>
      <c r="H1962" s="46"/>
      <c r="I1962" s="46"/>
      <c r="J1962" s="46"/>
      <c r="K1962" s="46"/>
    </row>
    <row r="1963" spans="1:11">
      <c r="A1963" s="45"/>
      <c r="B1963" s="45"/>
      <c r="C1963" s="45"/>
      <c r="D1963" s="46"/>
      <c r="E1963" s="46"/>
      <c r="F1963" s="46"/>
      <c r="G1963" s="46"/>
      <c r="H1963" s="46"/>
      <c r="I1963" s="46"/>
      <c r="J1963" s="46"/>
      <c r="K1963" s="46"/>
    </row>
    <row r="1964" spans="1:11">
      <c r="A1964" s="45"/>
      <c r="B1964" s="45"/>
      <c r="C1964" s="45"/>
      <c r="D1964" s="46"/>
      <c r="E1964" s="46"/>
      <c r="F1964" s="46"/>
      <c r="G1964" s="46"/>
      <c r="H1964" s="46"/>
      <c r="I1964" s="46"/>
      <c r="J1964" s="46"/>
      <c r="K1964" s="46"/>
    </row>
    <row r="1965" spans="1:11">
      <c r="A1965" s="45"/>
      <c r="B1965" s="45"/>
      <c r="C1965" s="45"/>
      <c r="D1965" s="46"/>
      <c r="E1965" s="46"/>
      <c r="F1965" s="46"/>
      <c r="G1965" s="46"/>
      <c r="H1965" s="46"/>
      <c r="I1965" s="46"/>
      <c r="J1965" s="46"/>
      <c r="K1965" s="46"/>
    </row>
    <row r="1966" spans="1:11">
      <c r="A1966" s="45"/>
      <c r="B1966" s="45"/>
      <c r="C1966" s="45"/>
      <c r="D1966" s="46"/>
      <c r="E1966" s="46"/>
      <c r="F1966" s="46"/>
      <c r="G1966" s="46"/>
      <c r="H1966" s="46"/>
      <c r="I1966" s="46"/>
      <c r="J1966" s="46"/>
      <c r="K1966" s="46"/>
    </row>
    <row r="1967" spans="1:11">
      <c r="A1967" s="45"/>
      <c r="B1967" s="45"/>
      <c r="C1967" s="45"/>
      <c r="D1967" s="46"/>
      <c r="E1967" s="46"/>
      <c r="F1967" s="46"/>
      <c r="G1967" s="46"/>
      <c r="H1967" s="46"/>
      <c r="I1967" s="46"/>
      <c r="J1967" s="46"/>
      <c r="K1967" s="46"/>
    </row>
    <row r="1968" spans="1:11">
      <c r="A1968" s="45"/>
      <c r="B1968" s="45"/>
      <c r="C1968" s="45"/>
      <c r="D1968" s="46"/>
      <c r="E1968" s="46"/>
      <c r="F1968" s="46"/>
      <c r="G1968" s="46"/>
      <c r="H1968" s="46"/>
      <c r="I1968" s="46"/>
      <c r="J1968" s="46"/>
      <c r="K1968" s="46"/>
    </row>
    <row r="1969" spans="1:11">
      <c r="A1969" s="45"/>
      <c r="B1969" s="45"/>
      <c r="C1969" s="45"/>
      <c r="D1969" s="46"/>
      <c r="E1969" s="46"/>
      <c r="F1969" s="46"/>
      <c r="G1969" s="46"/>
      <c r="H1969" s="46"/>
      <c r="I1969" s="46"/>
      <c r="J1969" s="46"/>
      <c r="K1969" s="46"/>
    </row>
    <row r="1970" spans="1:11">
      <c r="A1970" s="45"/>
      <c r="B1970" s="45"/>
      <c r="C1970" s="45"/>
      <c r="D1970" s="46"/>
      <c r="E1970" s="46"/>
      <c r="F1970" s="46"/>
      <c r="G1970" s="46"/>
      <c r="H1970" s="46"/>
      <c r="I1970" s="46"/>
      <c r="J1970" s="46"/>
      <c r="K1970" s="46"/>
    </row>
    <row r="1971" spans="1:11">
      <c r="A1971" s="45"/>
      <c r="B1971" s="45"/>
      <c r="C1971" s="45"/>
      <c r="D1971" s="46"/>
      <c r="E1971" s="46"/>
      <c r="F1971" s="46"/>
      <c r="G1971" s="46"/>
      <c r="H1971" s="46"/>
      <c r="I1971" s="46"/>
      <c r="J1971" s="46"/>
      <c r="K1971" s="46"/>
    </row>
    <row r="1972" spans="1:11">
      <c r="A1972" s="45"/>
      <c r="B1972" s="45"/>
      <c r="C1972" s="45"/>
      <c r="D1972" s="46"/>
      <c r="E1972" s="46"/>
      <c r="F1972" s="46"/>
      <c r="G1972" s="46"/>
      <c r="H1972" s="46"/>
      <c r="I1972" s="46"/>
      <c r="J1972" s="46"/>
      <c r="K1972" s="46"/>
    </row>
    <row r="1973" spans="1:11">
      <c r="A1973" s="45"/>
      <c r="B1973" s="45"/>
      <c r="C1973" s="45"/>
      <c r="D1973" s="46"/>
      <c r="E1973" s="46"/>
      <c r="F1973" s="46"/>
      <c r="G1973" s="46"/>
      <c r="H1973" s="46"/>
      <c r="I1973" s="46"/>
      <c r="J1973" s="46"/>
      <c r="K1973" s="46"/>
    </row>
    <row r="1974" spans="1:11">
      <c r="A1974" s="45"/>
      <c r="B1974" s="45"/>
      <c r="C1974" s="45"/>
      <c r="D1974" s="46"/>
      <c r="E1974" s="46"/>
      <c r="F1974" s="46"/>
      <c r="G1974" s="46"/>
      <c r="H1974" s="46"/>
      <c r="I1974" s="46"/>
      <c r="J1974" s="46"/>
      <c r="K1974" s="46"/>
    </row>
    <row r="1975" spans="1:11">
      <c r="A1975" s="45"/>
      <c r="B1975" s="45"/>
      <c r="C1975" s="45"/>
      <c r="D1975" s="46"/>
      <c r="E1975" s="46"/>
      <c r="F1975" s="46"/>
      <c r="G1975" s="46"/>
      <c r="H1975" s="46"/>
      <c r="I1975" s="46"/>
      <c r="J1975" s="46"/>
      <c r="K1975" s="46"/>
    </row>
    <row r="1976" spans="1:11">
      <c r="A1976" s="45"/>
      <c r="B1976" s="45"/>
      <c r="C1976" s="45"/>
      <c r="D1976" s="46"/>
      <c r="E1976" s="46"/>
      <c r="F1976" s="46"/>
      <c r="G1976" s="46"/>
      <c r="H1976" s="46"/>
      <c r="I1976" s="46"/>
      <c r="J1976" s="46"/>
      <c r="K1976" s="46"/>
    </row>
    <row r="1977" spans="1:11">
      <c r="A1977" s="45"/>
      <c r="B1977" s="45"/>
      <c r="C1977" s="45"/>
      <c r="D1977" s="46"/>
      <c r="E1977" s="46"/>
      <c r="F1977" s="46"/>
      <c r="G1977" s="46"/>
      <c r="H1977" s="46"/>
      <c r="I1977" s="46"/>
      <c r="J1977" s="46"/>
      <c r="K1977" s="46"/>
    </row>
    <row r="1978" spans="1:11">
      <c r="A1978" s="45"/>
      <c r="B1978" s="45"/>
      <c r="C1978" s="45"/>
      <c r="D1978" s="46"/>
      <c r="E1978" s="46"/>
      <c r="F1978" s="46"/>
      <c r="G1978" s="46"/>
      <c r="H1978" s="46"/>
      <c r="I1978" s="46"/>
      <c r="J1978" s="46"/>
      <c r="K1978" s="46"/>
    </row>
    <row r="1979" spans="1:11">
      <c r="A1979" s="45"/>
      <c r="B1979" s="45"/>
      <c r="C1979" s="45"/>
      <c r="D1979" s="46"/>
      <c r="E1979" s="46"/>
      <c r="F1979" s="46"/>
      <c r="G1979" s="46"/>
      <c r="H1979" s="46"/>
      <c r="I1979" s="46"/>
      <c r="J1979" s="46"/>
      <c r="K1979" s="46"/>
    </row>
    <row r="1980" spans="1:11">
      <c r="A1980" s="45"/>
      <c r="B1980" s="45"/>
      <c r="C1980" s="45"/>
      <c r="D1980" s="46"/>
      <c r="E1980" s="46"/>
      <c r="F1980" s="46"/>
      <c r="G1980" s="46"/>
      <c r="H1980" s="46"/>
      <c r="I1980" s="46"/>
      <c r="J1980" s="46"/>
      <c r="K1980" s="46"/>
    </row>
    <row r="1981" spans="1:11">
      <c r="A1981" s="45"/>
      <c r="B1981" s="45"/>
      <c r="C1981" s="45"/>
      <c r="D1981" s="46"/>
      <c r="E1981" s="46"/>
      <c r="F1981" s="46"/>
      <c r="G1981" s="46"/>
      <c r="H1981" s="46"/>
      <c r="I1981" s="46"/>
      <c r="J1981" s="46"/>
      <c r="K1981" s="46"/>
    </row>
    <row r="1982" spans="1:11">
      <c r="A1982" s="45"/>
      <c r="B1982" s="45"/>
      <c r="C1982" s="45"/>
      <c r="D1982" s="46"/>
      <c r="E1982" s="46"/>
      <c r="F1982" s="46"/>
      <c r="G1982" s="46"/>
      <c r="H1982" s="46"/>
      <c r="I1982" s="46"/>
      <c r="J1982" s="46"/>
      <c r="K1982" s="46"/>
    </row>
    <row r="1983" spans="1:11">
      <c r="A1983" s="45"/>
      <c r="B1983" s="45"/>
      <c r="C1983" s="45"/>
      <c r="D1983" s="46"/>
      <c r="E1983" s="46"/>
      <c r="F1983" s="46"/>
      <c r="G1983" s="46"/>
      <c r="H1983" s="46"/>
      <c r="I1983" s="46"/>
      <c r="J1983" s="46"/>
      <c r="K1983" s="46"/>
    </row>
    <row r="1984" spans="1:11">
      <c r="A1984" s="45"/>
      <c r="B1984" s="45"/>
      <c r="C1984" s="45"/>
      <c r="D1984" s="46"/>
      <c r="E1984" s="46"/>
      <c r="F1984" s="46"/>
      <c r="G1984" s="46"/>
      <c r="H1984" s="46"/>
      <c r="I1984" s="46"/>
      <c r="J1984" s="46"/>
      <c r="K1984" s="46"/>
    </row>
    <row r="1985" spans="1:11">
      <c r="A1985" s="45"/>
      <c r="B1985" s="45"/>
      <c r="C1985" s="45"/>
      <c r="D1985" s="46"/>
      <c r="E1985" s="46"/>
      <c r="F1985" s="46"/>
      <c r="G1985" s="46"/>
      <c r="H1985" s="46"/>
      <c r="I1985" s="46"/>
      <c r="J1985" s="46"/>
      <c r="K1985" s="46"/>
    </row>
    <row r="1986" spans="1:11">
      <c r="A1986" s="45"/>
      <c r="B1986" s="45"/>
      <c r="C1986" s="45"/>
      <c r="D1986" s="46"/>
      <c r="E1986" s="46"/>
      <c r="F1986" s="46"/>
      <c r="G1986" s="46"/>
      <c r="H1986" s="46"/>
      <c r="I1986" s="46"/>
      <c r="J1986" s="46"/>
      <c r="K1986" s="46"/>
    </row>
    <row r="1987" spans="1:11">
      <c r="A1987" s="45"/>
      <c r="B1987" s="45"/>
      <c r="C1987" s="45"/>
      <c r="D1987" s="46"/>
      <c r="E1987" s="46"/>
      <c r="F1987" s="46"/>
      <c r="G1987" s="46"/>
      <c r="H1987" s="46"/>
      <c r="I1987" s="46"/>
      <c r="J1987" s="46"/>
      <c r="K1987" s="46"/>
    </row>
    <row r="1988" spans="1:11">
      <c r="A1988" s="45"/>
      <c r="B1988" s="45"/>
      <c r="C1988" s="45"/>
      <c r="D1988" s="46"/>
      <c r="E1988" s="46"/>
      <c r="F1988" s="46"/>
      <c r="G1988" s="46"/>
      <c r="H1988" s="46"/>
      <c r="I1988" s="46"/>
      <c r="J1988" s="46"/>
      <c r="K1988" s="46"/>
    </row>
    <row r="1989" spans="1:11">
      <c r="A1989" s="45"/>
      <c r="B1989" s="45"/>
      <c r="C1989" s="45"/>
      <c r="D1989" s="46"/>
      <c r="E1989" s="46"/>
      <c r="F1989" s="46"/>
      <c r="G1989" s="46"/>
      <c r="H1989" s="46"/>
      <c r="I1989" s="46"/>
      <c r="J1989" s="46"/>
      <c r="K1989" s="46"/>
    </row>
    <row r="1990" spans="1:11">
      <c r="A1990" s="45"/>
      <c r="B1990" s="45"/>
      <c r="C1990" s="45"/>
      <c r="D1990" s="46"/>
      <c r="E1990" s="46"/>
      <c r="F1990" s="46"/>
      <c r="G1990" s="46"/>
      <c r="H1990" s="46"/>
      <c r="I1990" s="46"/>
      <c r="J1990" s="46"/>
      <c r="K1990" s="46"/>
    </row>
    <row r="1991" spans="1:11">
      <c r="A1991" s="45"/>
      <c r="B1991" s="45"/>
      <c r="C1991" s="45"/>
      <c r="D1991" s="46"/>
      <c r="E1991" s="46"/>
      <c r="F1991" s="46"/>
      <c r="G1991" s="46"/>
      <c r="H1991" s="46"/>
      <c r="I1991" s="46"/>
      <c r="J1991" s="46"/>
      <c r="K1991" s="46"/>
    </row>
    <row r="1992" spans="1:11">
      <c r="A1992" s="45"/>
      <c r="B1992" s="45"/>
      <c r="C1992" s="45"/>
      <c r="D1992" s="46"/>
      <c r="E1992" s="46"/>
      <c r="F1992" s="46"/>
      <c r="G1992" s="46"/>
      <c r="H1992" s="46"/>
      <c r="I1992" s="46"/>
      <c r="J1992" s="46"/>
      <c r="K1992" s="46"/>
    </row>
    <row r="1993" spans="1:11">
      <c r="A1993" s="45"/>
      <c r="B1993" s="45"/>
      <c r="C1993" s="45"/>
      <c r="D1993" s="46"/>
      <c r="E1993" s="46"/>
      <c r="F1993" s="46"/>
      <c r="G1993" s="46"/>
      <c r="H1993" s="46"/>
      <c r="I1993" s="46"/>
      <c r="J1993" s="46"/>
      <c r="K1993" s="46"/>
    </row>
    <row r="1994" spans="1:11">
      <c r="A1994" s="45"/>
      <c r="B1994" s="45"/>
      <c r="C1994" s="45"/>
      <c r="D1994" s="46"/>
      <c r="E1994" s="46"/>
      <c r="F1994" s="46"/>
      <c r="G1994" s="46"/>
      <c r="H1994" s="46"/>
      <c r="I1994" s="46"/>
      <c r="J1994" s="46"/>
      <c r="K1994" s="46"/>
    </row>
    <row r="1995" spans="1:11">
      <c r="A1995" s="45"/>
      <c r="B1995" s="45"/>
      <c r="C1995" s="45"/>
      <c r="D1995" s="46"/>
      <c r="E1995" s="46"/>
      <c r="F1995" s="46"/>
      <c r="G1995" s="46"/>
      <c r="H1995" s="46"/>
      <c r="I1995" s="46"/>
      <c r="J1995" s="46"/>
      <c r="K1995" s="46"/>
    </row>
    <row r="1996" spans="1:11">
      <c r="A1996" s="45"/>
      <c r="B1996" s="45"/>
      <c r="C1996" s="45"/>
      <c r="D1996" s="46"/>
      <c r="E1996" s="46"/>
      <c r="F1996" s="46"/>
      <c r="G1996" s="46"/>
      <c r="H1996" s="46"/>
      <c r="I1996" s="46"/>
      <c r="J1996" s="46"/>
      <c r="K1996" s="46"/>
    </row>
    <row r="1997" spans="1:11">
      <c r="A1997" s="45"/>
      <c r="B1997" s="45"/>
      <c r="C1997" s="45"/>
      <c r="D1997" s="46"/>
      <c r="E1997" s="46"/>
      <c r="F1997" s="46"/>
      <c r="G1997" s="46"/>
      <c r="H1997" s="46"/>
      <c r="I1997" s="46"/>
      <c r="J1997" s="46"/>
      <c r="K1997" s="46"/>
    </row>
    <row r="1998" spans="1:11">
      <c r="A1998" s="45"/>
      <c r="B1998" s="45"/>
      <c r="C1998" s="45"/>
      <c r="D1998" s="46"/>
      <c r="E1998" s="46"/>
      <c r="F1998" s="46"/>
      <c r="G1998" s="46"/>
      <c r="H1998" s="46"/>
      <c r="I1998" s="46"/>
      <c r="J1998" s="46"/>
      <c r="K1998" s="46"/>
    </row>
    <row r="1999" spans="1:11">
      <c r="A1999" s="45"/>
      <c r="B1999" s="45"/>
      <c r="C1999" s="45"/>
      <c r="D1999" s="46"/>
      <c r="E1999" s="46"/>
      <c r="F1999" s="46"/>
      <c r="G1999" s="46"/>
      <c r="H1999" s="46"/>
      <c r="I1999" s="46"/>
      <c r="J1999" s="46"/>
      <c r="K1999" s="46"/>
    </row>
    <row r="2000" spans="1:11">
      <c r="A2000" s="45"/>
      <c r="B2000" s="45"/>
      <c r="C2000" s="45"/>
      <c r="D2000" s="46"/>
      <c r="E2000" s="46"/>
      <c r="F2000" s="46"/>
      <c r="G2000" s="46"/>
      <c r="H2000" s="46"/>
      <c r="I2000" s="46"/>
      <c r="J2000" s="46"/>
      <c r="K2000" s="46"/>
    </row>
    <row r="2001" spans="1:11">
      <c r="A2001" s="45"/>
      <c r="B2001" s="45"/>
      <c r="C2001" s="45"/>
      <c r="D2001" s="46"/>
      <c r="E2001" s="46"/>
      <c r="F2001" s="46"/>
      <c r="G2001" s="46"/>
      <c r="H2001" s="46"/>
      <c r="I2001" s="46"/>
      <c r="J2001" s="46"/>
      <c r="K2001" s="46"/>
    </row>
    <row r="2002" spans="1:11">
      <c r="A2002" s="45"/>
      <c r="B2002" s="45"/>
      <c r="C2002" s="45"/>
      <c r="D2002" s="46"/>
      <c r="E2002" s="46"/>
      <c r="F2002" s="46"/>
      <c r="G2002" s="46"/>
      <c r="H2002" s="46"/>
      <c r="I2002" s="46"/>
      <c r="J2002" s="46"/>
      <c r="K2002" s="46"/>
    </row>
    <row r="2003" spans="1:11">
      <c r="A2003" s="45"/>
      <c r="B2003" s="45"/>
      <c r="C2003" s="45"/>
      <c r="D2003" s="46"/>
      <c r="E2003" s="46"/>
      <c r="F2003" s="46"/>
      <c r="G2003" s="46"/>
      <c r="H2003" s="46"/>
      <c r="I2003" s="46"/>
      <c r="J2003" s="46"/>
      <c r="K2003" s="46"/>
    </row>
    <row r="2004" spans="1:11">
      <c r="A2004" s="45"/>
      <c r="B2004" s="45"/>
      <c r="C2004" s="45"/>
      <c r="D2004" s="46"/>
      <c r="E2004" s="46"/>
      <c r="F2004" s="46"/>
      <c r="G2004" s="46"/>
      <c r="H2004" s="46"/>
      <c r="I2004" s="46"/>
      <c r="J2004" s="46"/>
      <c r="K2004" s="46"/>
    </row>
    <row r="2005" spans="1:11">
      <c r="A2005" s="45"/>
      <c r="B2005" s="45"/>
      <c r="C2005" s="45"/>
      <c r="D2005" s="46"/>
      <c r="E2005" s="46"/>
      <c r="F2005" s="46"/>
      <c r="G2005" s="46"/>
      <c r="H2005" s="46"/>
      <c r="I2005" s="46"/>
      <c r="J2005" s="46"/>
      <c r="K2005" s="46"/>
    </row>
    <row r="2006" spans="1:11">
      <c r="A2006" s="45"/>
      <c r="B2006" s="45"/>
      <c r="C2006" s="45"/>
      <c r="D2006" s="46"/>
      <c r="E2006" s="46"/>
      <c r="F2006" s="46"/>
      <c r="G2006" s="46"/>
      <c r="H2006" s="46"/>
      <c r="I2006" s="46"/>
      <c r="J2006" s="46"/>
      <c r="K2006" s="46"/>
    </row>
    <row r="2007" spans="1:11">
      <c r="A2007" s="45"/>
      <c r="B2007" s="45"/>
      <c r="C2007" s="45"/>
      <c r="D2007" s="46"/>
      <c r="E2007" s="46"/>
      <c r="F2007" s="46"/>
      <c r="G2007" s="46"/>
      <c r="H2007" s="46"/>
      <c r="I2007" s="46"/>
      <c r="J2007" s="46"/>
      <c r="K2007" s="46"/>
    </row>
    <row r="2008" spans="1:11">
      <c r="A2008" s="45"/>
      <c r="B2008" s="45"/>
      <c r="C2008" s="45"/>
      <c r="D2008" s="46"/>
      <c r="E2008" s="46"/>
      <c r="F2008" s="46"/>
      <c r="G2008" s="46"/>
      <c r="H2008" s="46"/>
      <c r="I2008" s="46"/>
      <c r="J2008" s="46"/>
      <c r="K2008" s="46"/>
    </row>
    <row r="2009" spans="1:11">
      <c r="A2009" s="45"/>
      <c r="B2009" s="45"/>
      <c r="C2009" s="45"/>
      <c r="D2009" s="46"/>
      <c r="E2009" s="46"/>
      <c r="F2009" s="46"/>
      <c r="G2009" s="46"/>
      <c r="H2009" s="46"/>
      <c r="I2009" s="46"/>
      <c r="J2009" s="46"/>
      <c r="K2009" s="46"/>
    </row>
    <row r="2010" spans="1:11">
      <c r="A2010" s="45"/>
      <c r="B2010" s="45"/>
      <c r="C2010" s="45"/>
      <c r="D2010" s="46"/>
      <c r="E2010" s="46"/>
      <c r="F2010" s="46"/>
      <c r="G2010" s="46"/>
      <c r="H2010" s="46"/>
      <c r="I2010" s="46"/>
      <c r="J2010" s="46"/>
      <c r="K2010" s="46"/>
    </row>
    <row r="2011" spans="1:11">
      <c r="A2011" s="45"/>
      <c r="B2011" s="45"/>
      <c r="C2011" s="45"/>
      <c r="D2011" s="46"/>
      <c r="E2011" s="46"/>
      <c r="F2011" s="46"/>
      <c r="G2011" s="46"/>
      <c r="H2011" s="46"/>
      <c r="I2011" s="46"/>
      <c r="J2011" s="46"/>
      <c r="K2011" s="46"/>
    </row>
    <row r="2012" spans="1:11">
      <c r="A2012" s="45"/>
      <c r="B2012" s="45"/>
      <c r="C2012" s="45"/>
      <c r="D2012" s="46"/>
      <c r="E2012" s="46"/>
      <c r="F2012" s="46"/>
      <c r="G2012" s="46"/>
      <c r="H2012" s="46"/>
      <c r="I2012" s="46"/>
      <c r="J2012" s="46"/>
      <c r="K2012" s="46"/>
    </row>
    <row r="2013" spans="1:11">
      <c r="A2013" s="45"/>
      <c r="B2013" s="45"/>
      <c r="C2013" s="45"/>
      <c r="D2013" s="46"/>
      <c r="E2013" s="46"/>
      <c r="F2013" s="46"/>
      <c r="G2013" s="46"/>
      <c r="H2013" s="46"/>
      <c r="I2013" s="46"/>
      <c r="J2013" s="46"/>
      <c r="K2013" s="46"/>
    </row>
    <row r="2014" spans="1:11">
      <c r="A2014" s="45"/>
      <c r="B2014" s="45"/>
      <c r="C2014" s="45"/>
      <c r="D2014" s="46"/>
      <c r="E2014" s="46"/>
      <c r="F2014" s="46"/>
      <c r="G2014" s="46"/>
      <c r="H2014" s="46"/>
      <c r="I2014" s="46"/>
      <c r="J2014" s="46"/>
      <c r="K2014" s="46"/>
    </row>
    <row r="2015" spans="1:11">
      <c r="A2015" s="45"/>
      <c r="B2015" s="45"/>
      <c r="C2015" s="45"/>
      <c r="D2015" s="46"/>
      <c r="E2015" s="46"/>
      <c r="F2015" s="46"/>
      <c r="G2015" s="46"/>
      <c r="H2015" s="46"/>
      <c r="I2015" s="46"/>
      <c r="J2015" s="46"/>
      <c r="K2015" s="46"/>
    </row>
    <row r="2016" spans="1:11">
      <c r="A2016" s="45"/>
      <c r="B2016" s="45"/>
      <c r="C2016" s="45"/>
      <c r="D2016" s="46"/>
      <c r="E2016" s="46"/>
      <c r="F2016" s="46"/>
      <c r="G2016" s="46"/>
      <c r="H2016" s="46"/>
      <c r="I2016" s="46"/>
      <c r="J2016" s="46"/>
      <c r="K2016" s="46"/>
    </row>
    <row r="2017" spans="1:11">
      <c r="A2017" s="45"/>
      <c r="B2017" s="45"/>
      <c r="C2017" s="45"/>
      <c r="D2017" s="46"/>
      <c r="E2017" s="46"/>
      <c r="F2017" s="46"/>
      <c r="G2017" s="46"/>
      <c r="H2017" s="46"/>
      <c r="I2017" s="46"/>
      <c r="J2017" s="46"/>
      <c r="K2017" s="46"/>
    </row>
    <row r="2018" spans="1:11">
      <c r="A2018" s="45"/>
      <c r="B2018" s="45"/>
      <c r="C2018" s="45"/>
      <c r="D2018" s="46"/>
      <c r="E2018" s="46"/>
      <c r="F2018" s="46"/>
      <c r="G2018" s="46"/>
      <c r="H2018" s="46"/>
      <c r="I2018" s="46"/>
      <c r="J2018" s="46"/>
      <c r="K2018" s="46"/>
    </row>
    <row r="2019" spans="1:11">
      <c r="A2019" s="45"/>
      <c r="B2019" s="45"/>
      <c r="C2019" s="45"/>
      <c r="D2019" s="46"/>
      <c r="E2019" s="46"/>
      <c r="F2019" s="46"/>
      <c r="G2019" s="46"/>
      <c r="H2019" s="46"/>
      <c r="I2019" s="46"/>
      <c r="J2019" s="46"/>
      <c r="K2019" s="46"/>
    </row>
    <row r="2020" spans="1:11">
      <c r="A2020" s="45"/>
      <c r="B2020" s="45"/>
      <c r="C2020" s="45"/>
      <c r="D2020" s="46"/>
      <c r="E2020" s="46"/>
      <c r="F2020" s="46"/>
      <c r="G2020" s="46"/>
      <c r="H2020" s="46"/>
      <c r="I2020" s="46"/>
      <c r="J2020" s="46"/>
      <c r="K2020" s="46"/>
    </row>
    <row r="2021" spans="1:11">
      <c r="A2021" s="45"/>
      <c r="B2021" s="45"/>
      <c r="C2021" s="45"/>
      <c r="D2021" s="46"/>
      <c r="E2021" s="46"/>
      <c r="F2021" s="46"/>
      <c r="G2021" s="46"/>
      <c r="H2021" s="46"/>
      <c r="I2021" s="46"/>
      <c r="J2021" s="46"/>
      <c r="K2021" s="46"/>
    </row>
    <row r="2022" spans="1:11">
      <c r="A2022" s="45"/>
      <c r="B2022" s="45"/>
      <c r="C2022" s="45"/>
      <c r="D2022" s="46"/>
      <c r="E2022" s="46"/>
      <c r="F2022" s="46"/>
      <c r="G2022" s="46"/>
      <c r="H2022" s="46"/>
      <c r="I2022" s="46"/>
      <c r="J2022" s="46"/>
      <c r="K2022" s="46"/>
    </row>
    <row r="2023" spans="1:11">
      <c r="A2023" s="45"/>
      <c r="B2023" s="45"/>
      <c r="C2023" s="45"/>
      <c r="D2023" s="46"/>
      <c r="E2023" s="46"/>
      <c r="F2023" s="46"/>
      <c r="G2023" s="46"/>
      <c r="H2023" s="46"/>
      <c r="I2023" s="46"/>
      <c r="J2023" s="46"/>
      <c r="K2023" s="46"/>
    </row>
    <row r="2024" spans="1:11">
      <c r="A2024" s="45"/>
      <c r="B2024" s="45"/>
      <c r="C2024" s="45"/>
      <c r="D2024" s="46"/>
      <c r="E2024" s="46"/>
      <c r="F2024" s="46"/>
      <c r="G2024" s="46"/>
      <c r="H2024" s="46"/>
      <c r="I2024" s="46"/>
      <c r="J2024" s="46"/>
      <c r="K2024" s="46"/>
    </row>
    <row r="2025" spans="1:11">
      <c r="A2025" s="45"/>
      <c r="B2025" s="45"/>
      <c r="C2025" s="45"/>
      <c r="D2025" s="46"/>
      <c r="E2025" s="46"/>
      <c r="F2025" s="46"/>
      <c r="G2025" s="46"/>
      <c r="H2025" s="46"/>
      <c r="I2025" s="46"/>
      <c r="J2025" s="46"/>
      <c r="K2025" s="46"/>
    </row>
    <row r="2026" spans="1:11">
      <c r="A2026" s="45"/>
      <c r="B2026" s="45"/>
      <c r="C2026" s="45"/>
      <c r="D2026" s="46"/>
      <c r="E2026" s="46"/>
      <c r="F2026" s="46"/>
      <c r="G2026" s="46"/>
      <c r="H2026" s="46"/>
      <c r="I2026" s="46"/>
      <c r="J2026" s="46"/>
      <c r="K2026" s="46"/>
    </row>
    <row r="2027" spans="1:11">
      <c r="A2027" s="45"/>
      <c r="B2027" s="45"/>
      <c r="C2027" s="45"/>
      <c r="D2027" s="46"/>
      <c r="E2027" s="46"/>
      <c r="F2027" s="46"/>
      <c r="G2027" s="46"/>
      <c r="H2027" s="46"/>
      <c r="I2027" s="46"/>
      <c r="J2027" s="46"/>
      <c r="K2027" s="46"/>
    </row>
    <row r="2028" spans="1:11">
      <c r="A2028" s="45"/>
      <c r="B2028" s="45"/>
      <c r="C2028" s="45"/>
      <c r="D2028" s="46"/>
      <c r="E2028" s="46"/>
      <c r="F2028" s="46"/>
      <c r="G2028" s="46"/>
      <c r="H2028" s="46"/>
      <c r="I2028" s="46"/>
      <c r="J2028" s="46"/>
      <c r="K2028" s="46"/>
    </row>
    <row r="2029" spans="1:11">
      <c r="A2029" s="45"/>
      <c r="B2029" s="45"/>
      <c r="C2029" s="45"/>
      <c r="D2029" s="46"/>
      <c r="E2029" s="46"/>
      <c r="F2029" s="46"/>
      <c r="G2029" s="46"/>
      <c r="H2029" s="46"/>
      <c r="I2029" s="46"/>
      <c r="J2029" s="46"/>
      <c r="K2029" s="46"/>
    </row>
    <row r="2030" spans="1:11">
      <c r="A2030" s="45"/>
      <c r="B2030" s="45"/>
      <c r="C2030" s="45"/>
      <c r="D2030" s="46"/>
      <c r="E2030" s="46"/>
      <c r="F2030" s="46"/>
      <c r="G2030" s="46"/>
      <c r="H2030" s="46"/>
      <c r="I2030" s="46"/>
      <c r="J2030" s="46"/>
      <c r="K2030" s="46"/>
    </row>
    <row r="2031" spans="1:11">
      <c r="A2031" s="45"/>
      <c r="B2031" s="45"/>
      <c r="C2031" s="45"/>
      <c r="D2031" s="46"/>
      <c r="E2031" s="46"/>
      <c r="F2031" s="46"/>
      <c r="G2031" s="46"/>
      <c r="H2031" s="46"/>
      <c r="I2031" s="46"/>
      <c r="J2031" s="46"/>
      <c r="K2031" s="46"/>
    </row>
    <row r="2032" spans="1:11">
      <c r="A2032" s="45"/>
      <c r="B2032" s="45"/>
      <c r="C2032" s="45"/>
      <c r="D2032" s="46"/>
      <c r="E2032" s="46"/>
      <c r="F2032" s="46"/>
      <c r="G2032" s="46"/>
      <c r="H2032" s="46"/>
      <c r="I2032" s="46"/>
      <c r="J2032" s="46"/>
      <c r="K2032" s="46"/>
    </row>
    <row r="2033" spans="1:11">
      <c r="A2033" s="45"/>
      <c r="B2033" s="45"/>
      <c r="C2033" s="45"/>
      <c r="D2033" s="46"/>
      <c r="E2033" s="46"/>
      <c r="F2033" s="46"/>
      <c r="G2033" s="46"/>
      <c r="H2033" s="46"/>
      <c r="I2033" s="46"/>
      <c r="J2033" s="46"/>
      <c r="K2033" s="46"/>
    </row>
    <row r="2034" spans="1:11">
      <c r="A2034" s="45"/>
      <c r="B2034" s="45"/>
      <c r="C2034" s="45"/>
      <c r="D2034" s="46"/>
      <c r="E2034" s="46"/>
      <c r="F2034" s="46"/>
      <c r="G2034" s="46"/>
      <c r="H2034" s="46"/>
      <c r="I2034" s="46"/>
      <c r="J2034" s="46"/>
      <c r="K2034" s="46"/>
    </row>
    <row r="2035" spans="1:11">
      <c r="A2035" s="45"/>
      <c r="B2035" s="45"/>
      <c r="C2035" s="45"/>
      <c r="D2035" s="46"/>
      <c r="E2035" s="46"/>
      <c r="F2035" s="46"/>
      <c r="G2035" s="46"/>
      <c r="H2035" s="46"/>
      <c r="I2035" s="46"/>
      <c r="J2035" s="46"/>
      <c r="K2035" s="46"/>
    </row>
    <row r="2036" spans="1:11">
      <c r="A2036" s="45"/>
      <c r="B2036" s="45"/>
      <c r="C2036" s="45"/>
      <c r="D2036" s="46"/>
      <c r="E2036" s="46"/>
      <c r="F2036" s="46"/>
      <c r="G2036" s="46"/>
      <c r="H2036" s="46"/>
      <c r="I2036" s="46"/>
      <c r="J2036" s="46"/>
      <c r="K2036" s="46"/>
    </row>
    <row r="2037" spans="1:11">
      <c r="A2037" s="45"/>
      <c r="B2037" s="45"/>
      <c r="C2037" s="45"/>
      <c r="D2037" s="46"/>
      <c r="E2037" s="46"/>
      <c r="F2037" s="46"/>
      <c r="G2037" s="46"/>
      <c r="H2037" s="46"/>
      <c r="I2037" s="46"/>
      <c r="J2037" s="46"/>
      <c r="K2037" s="46"/>
    </row>
    <row r="2038" spans="1:11">
      <c r="A2038" s="45"/>
      <c r="B2038" s="45"/>
      <c r="C2038" s="45"/>
      <c r="D2038" s="46"/>
      <c r="E2038" s="46"/>
      <c r="F2038" s="46"/>
      <c r="G2038" s="46"/>
      <c r="H2038" s="46"/>
      <c r="I2038" s="46"/>
      <c r="J2038" s="46"/>
      <c r="K2038" s="46"/>
    </row>
    <row r="2039" spans="1:11">
      <c r="A2039" s="45"/>
      <c r="B2039" s="45"/>
      <c r="C2039" s="45"/>
      <c r="D2039" s="46"/>
      <c r="E2039" s="46"/>
      <c r="F2039" s="46"/>
      <c r="G2039" s="46"/>
      <c r="H2039" s="46"/>
      <c r="I2039" s="46"/>
      <c r="J2039" s="46"/>
      <c r="K2039" s="46"/>
    </row>
    <row r="2040" spans="1:11">
      <c r="A2040" s="45"/>
      <c r="B2040" s="45"/>
      <c r="C2040" s="45"/>
      <c r="D2040" s="46"/>
      <c r="E2040" s="46"/>
      <c r="F2040" s="46"/>
      <c r="G2040" s="46"/>
      <c r="H2040" s="46"/>
      <c r="I2040" s="46"/>
      <c r="J2040" s="46"/>
      <c r="K2040" s="46"/>
    </row>
    <row r="2041" spans="1:11">
      <c r="A2041" s="45"/>
      <c r="B2041" s="45"/>
      <c r="C2041" s="45"/>
      <c r="D2041" s="46"/>
      <c r="E2041" s="46"/>
      <c r="F2041" s="46"/>
      <c r="G2041" s="46"/>
      <c r="H2041" s="46"/>
      <c r="I2041" s="46"/>
      <c r="J2041" s="46"/>
      <c r="K2041" s="46"/>
    </row>
    <row r="2042" spans="1:11">
      <c r="A2042" s="45"/>
      <c r="B2042" s="45"/>
      <c r="C2042" s="45"/>
      <c r="D2042" s="46"/>
      <c r="E2042" s="46"/>
      <c r="F2042" s="46"/>
      <c r="G2042" s="46"/>
      <c r="H2042" s="46"/>
      <c r="I2042" s="46"/>
      <c r="J2042" s="46"/>
      <c r="K2042" s="46"/>
    </row>
    <row r="2043" spans="1:11">
      <c r="A2043" s="45"/>
      <c r="B2043" s="45"/>
      <c r="C2043" s="45"/>
      <c r="D2043" s="46"/>
      <c r="E2043" s="46"/>
      <c r="F2043" s="46"/>
      <c r="G2043" s="46"/>
      <c r="H2043" s="46"/>
      <c r="I2043" s="46"/>
      <c r="J2043" s="46"/>
      <c r="K2043" s="46"/>
    </row>
    <row r="2044" spans="1:11">
      <c r="A2044" s="45"/>
      <c r="B2044" s="45"/>
      <c r="C2044" s="45"/>
      <c r="D2044" s="46"/>
      <c r="E2044" s="46"/>
      <c r="F2044" s="46"/>
      <c r="G2044" s="46"/>
      <c r="H2044" s="46"/>
      <c r="I2044" s="46"/>
      <c r="J2044" s="46"/>
      <c r="K2044" s="46"/>
    </row>
    <row r="2045" spans="1:11">
      <c r="A2045" s="45"/>
      <c r="B2045" s="45"/>
      <c r="C2045" s="45"/>
      <c r="D2045" s="46"/>
      <c r="E2045" s="46"/>
      <c r="F2045" s="46"/>
      <c r="G2045" s="46"/>
      <c r="H2045" s="46"/>
      <c r="I2045" s="46"/>
      <c r="J2045" s="46"/>
      <c r="K2045" s="46"/>
    </row>
    <row r="2046" spans="1:11">
      <c r="A2046" s="45"/>
      <c r="B2046" s="45"/>
      <c r="C2046" s="45"/>
      <c r="D2046" s="46"/>
      <c r="E2046" s="46"/>
      <c r="F2046" s="46"/>
      <c r="G2046" s="46"/>
      <c r="H2046" s="46"/>
      <c r="I2046" s="46"/>
      <c r="J2046" s="46"/>
      <c r="K2046" s="46"/>
    </row>
    <row r="2047" spans="1:11">
      <c r="A2047" s="45"/>
      <c r="B2047" s="45"/>
      <c r="C2047" s="45"/>
      <c r="D2047" s="46"/>
      <c r="E2047" s="46"/>
      <c r="F2047" s="46"/>
      <c r="G2047" s="46"/>
      <c r="H2047" s="46"/>
      <c r="I2047" s="46"/>
      <c r="J2047" s="46"/>
      <c r="K2047" s="46"/>
    </row>
    <row r="2048" spans="1:11">
      <c r="A2048" s="45"/>
      <c r="B2048" s="45"/>
      <c r="C2048" s="45"/>
      <c r="D2048" s="46"/>
      <c r="E2048" s="46"/>
      <c r="F2048" s="46"/>
      <c r="G2048" s="46"/>
      <c r="H2048" s="46"/>
      <c r="I2048" s="46"/>
      <c r="J2048" s="46"/>
      <c r="K2048" s="46"/>
    </row>
    <row r="2049" spans="1:11">
      <c r="A2049" s="45"/>
      <c r="B2049" s="45"/>
      <c r="C2049" s="45"/>
      <c r="D2049" s="46"/>
      <c r="E2049" s="46"/>
      <c r="F2049" s="46"/>
      <c r="G2049" s="46"/>
      <c r="H2049" s="46"/>
      <c r="I2049" s="46"/>
      <c r="J2049" s="46"/>
      <c r="K2049" s="46"/>
    </row>
    <row r="2050" spans="1:11">
      <c r="A2050" s="45"/>
      <c r="B2050" s="45"/>
      <c r="C2050" s="45"/>
      <c r="D2050" s="46"/>
      <c r="E2050" s="46"/>
      <c r="F2050" s="46"/>
      <c r="G2050" s="46"/>
      <c r="H2050" s="46"/>
      <c r="I2050" s="46"/>
      <c r="J2050" s="46"/>
      <c r="K2050" s="46"/>
    </row>
    <row r="2051" spans="1:11">
      <c r="A2051" s="45"/>
      <c r="B2051" s="45"/>
      <c r="C2051" s="45"/>
      <c r="D2051" s="46"/>
      <c r="E2051" s="46"/>
      <c r="F2051" s="46"/>
      <c r="G2051" s="46"/>
      <c r="H2051" s="46"/>
      <c r="I2051" s="46"/>
      <c r="J2051" s="46"/>
      <c r="K2051" s="46"/>
    </row>
    <row r="2052" spans="1:11">
      <c r="A2052" s="45"/>
      <c r="B2052" s="45"/>
      <c r="C2052" s="45"/>
      <c r="D2052" s="46"/>
      <c r="E2052" s="46"/>
      <c r="F2052" s="46"/>
      <c r="G2052" s="46"/>
      <c r="H2052" s="46"/>
      <c r="I2052" s="46"/>
      <c r="J2052" s="46"/>
      <c r="K2052" s="46"/>
    </row>
    <row r="2053" spans="1:11">
      <c r="A2053" s="45"/>
      <c r="B2053" s="45"/>
      <c r="C2053" s="45"/>
      <c r="D2053" s="46"/>
      <c r="E2053" s="46"/>
      <c r="F2053" s="46"/>
      <c r="G2053" s="46"/>
      <c r="H2053" s="46"/>
      <c r="I2053" s="46"/>
      <c r="J2053" s="46"/>
      <c r="K2053" s="46"/>
    </row>
    <row r="2054" spans="1:11">
      <c r="A2054" s="45"/>
      <c r="B2054" s="45"/>
      <c r="C2054" s="45"/>
      <c r="D2054" s="46"/>
      <c r="E2054" s="46"/>
      <c r="F2054" s="46"/>
      <c r="G2054" s="46"/>
      <c r="H2054" s="46"/>
      <c r="I2054" s="46"/>
      <c r="J2054" s="46"/>
      <c r="K2054" s="46"/>
    </row>
    <row r="2055" spans="1:11">
      <c r="A2055" s="45"/>
      <c r="B2055" s="45"/>
      <c r="C2055" s="45"/>
      <c r="D2055" s="46"/>
      <c r="E2055" s="46"/>
      <c r="F2055" s="46"/>
      <c r="G2055" s="46"/>
      <c r="H2055" s="46"/>
      <c r="I2055" s="46"/>
      <c r="J2055" s="46"/>
      <c r="K2055" s="46"/>
    </row>
    <row r="2056" spans="1:11">
      <c r="A2056" s="45"/>
      <c r="B2056" s="45"/>
      <c r="C2056" s="45"/>
      <c r="D2056" s="46"/>
      <c r="E2056" s="46"/>
      <c r="F2056" s="46"/>
      <c r="G2056" s="46"/>
      <c r="H2056" s="46"/>
      <c r="I2056" s="46"/>
      <c r="J2056" s="46"/>
      <c r="K2056" s="46"/>
    </row>
    <row r="2057" spans="1:11">
      <c r="A2057" s="45"/>
      <c r="B2057" s="45"/>
      <c r="C2057" s="45"/>
      <c r="D2057" s="46"/>
      <c r="E2057" s="46"/>
      <c r="F2057" s="46"/>
      <c r="G2057" s="46"/>
      <c r="H2057" s="46"/>
      <c r="I2057" s="46"/>
      <c r="J2057" s="46"/>
      <c r="K2057" s="46"/>
    </row>
    <row r="2058" spans="1:11">
      <c r="A2058" s="45"/>
      <c r="B2058" s="45"/>
      <c r="C2058" s="45"/>
      <c r="D2058" s="46"/>
      <c r="E2058" s="46"/>
      <c r="F2058" s="46"/>
      <c r="G2058" s="46"/>
      <c r="H2058" s="46"/>
      <c r="I2058" s="46"/>
      <c r="J2058" s="46"/>
      <c r="K2058" s="46"/>
    </row>
    <row r="2059" spans="1:11">
      <c r="A2059" s="45"/>
      <c r="B2059" s="45"/>
      <c r="C2059" s="45"/>
      <c r="D2059" s="46"/>
      <c r="E2059" s="46"/>
      <c r="F2059" s="46"/>
      <c r="G2059" s="46"/>
      <c r="H2059" s="46"/>
      <c r="I2059" s="46"/>
      <c r="J2059" s="46"/>
      <c r="K2059" s="46"/>
    </row>
    <row r="2060" spans="1:11">
      <c r="A2060" s="45"/>
      <c r="B2060" s="45"/>
      <c r="C2060" s="45"/>
      <c r="D2060" s="46"/>
      <c r="E2060" s="46"/>
      <c r="F2060" s="46"/>
      <c r="G2060" s="46"/>
      <c r="H2060" s="46"/>
      <c r="I2060" s="46"/>
      <c r="J2060" s="46"/>
      <c r="K2060" s="46"/>
    </row>
    <row r="2061" spans="1:11">
      <c r="A2061" s="45"/>
      <c r="B2061" s="45"/>
      <c r="C2061" s="45"/>
      <c r="D2061" s="46"/>
      <c r="E2061" s="46"/>
      <c r="F2061" s="46"/>
      <c r="G2061" s="46"/>
      <c r="H2061" s="46"/>
      <c r="I2061" s="46"/>
      <c r="J2061" s="46"/>
      <c r="K2061" s="46"/>
    </row>
    <row r="2062" spans="1:11">
      <c r="A2062" s="45"/>
      <c r="B2062" s="45"/>
      <c r="C2062" s="45"/>
      <c r="D2062" s="46"/>
      <c r="E2062" s="46"/>
      <c r="F2062" s="46"/>
      <c r="G2062" s="46"/>
      <c r="H2062" s="46"/>
      <c r="I2062" s="46"/>
      <c r="J2062" s="46"/>
      <c r="K2062" s="46"/>
    </row>
    <row r="2063" spans="1:11">
      <c r="A2063" s="45"/>
      <c r="B2063" s="45"/>
      <c r="C2063" s="45"/>
      <c r="D2063" s="46"/>
      <c r="E2063" s="46"/>
      <c r="F2063" s="46"/>
      <c r="G2063" s="46"/>
      <c r="H2063" s="46"/>
      <c r="I2063" s="46"/>
      <c r="J2063" s="46"/>
      <c r="K2063" s="46"/>
    </row>
    <row r="2064" spans="1:11">
      <c r="A2064" s="45"/>
      <c r="B2064" s="45"/>
      <c r="C2064" s="45"/>
      <c r="D2064" s="46"/>
      <c r="E2064" s="46"/>
      <c r="F2064" s="46"/>
      <c r="G2064" s="46"/>
      <c r="H2064" s="46"/>
      <c r="I2064" s="46"/>
      <c r="J2064" s="46"/>
      <c r="K2064" s="46"/>
    </row>
    <row r="2065" spans="1:11">
      <c r="A2065" s="45"/>
      <c r="B2065" s="45"/>
      <c r="C2065" s="45"/>
      <c r="D2065" s="46"/>
      <c r="E2065" s="46"/>
      <c r="F2065" s="46"/>
      <c r="G2065" s="46"/>
      <c r="H2065" s="46"/>
      <c r="I2065" s="46"/>
      <c r="J2065" s="46"/>
      <c r="K2065" s="46"/>
    </row>
    <row r="2066" spans="1:11">
      <c r="A2066" s="45"/>
      <c r="B2066" s="45"/>
      <c r="C2066" s="45"/>
      <c r="D2066" s="46"/>
      <c r="E2066" s="46"/>
      <c r="F2066" s="46"/>
      <c r="G2066" s="46"/>
      <c r="H2066" s="46"/>
      <c r="I2066" s="46"/>
      <c r="J2066" s="46"/>
      <c r="K2066" s="46"/>
    </row>
    <row r="2067" spans="1:11">
      <c r="A2067" s="45"/>
      <c r="B2067" s="45"/>
      <c r="C2067" s="45"/>
      <c r="D2067" s="46"/>
      <c r="E2067" s="46"/>
      <c r="F2067" s="46"/>
      <c r="G2067" s="46"/>
      <c r="H2067" s="46"/>
      <c r="I2067" s="46"/>
      <c r="J2067" s="46"/>
      <c r="K2067" s="46"/>
    </row>
    <row r="2068" spans="1:11">
      <c r="A2068" s="45"/>
      <c r="B2068" s="45"/>
      <c r="C2068" s="45"/>
      <c r="D2068" s="46"/>
      <c r="E2068" s="46"/>
      <c r="F2068" s="46"/>
      <c r="G2068" s="46"/>
      <c r="H2068" s="46"/>
      <c r="I2068" s="46"/>
      <c r="J2068" s="46"/>
      <c r="K2068" s="46"/>
    </row>
    <row r="2069" spans="1:11">
      <c r="A2069" s="45"/>
      <c r="B2069" s="45"/>
      <c r="C2069" s="45"/>
      <c r="D2069" s="46"/>
      <c r="E2069" s="46"/>
      <c r="F2069" s="46"/>
      <c r="G2069" s="46"/>
      <c r="H2069" s="46"/>
      <c r="I2069" s="46"/>
      <c r="J2069" s="46"/>
      <c r="K2069" s="46"/>
    </row>
    <row r="2070" spans="1:11">
      <c r="A2070" s="45"/>
      <c r="B2070" s="45"/>
      <c r="C2070" s="45"/>
      <c r="D2070" s="46"/>
      <c r="E2070" s="46"/>
      <c r="F2070" s="46"/>
      <c r="G2070" s="46"/>
      <c r="H2070" s="46"/>
      <c r="I2070" s="46"/>
      <c r="J2070" s="46"/>
      <c r="K2070" s="46"/>
    </row>
    <row r="2071" spans="1:11">
      <c r="A2071" s="45"/>
      <c r="B2071" s="45"/>
      <c r="C2071" s="45"/>
      <c r="D2071" s="46"/>
      <c r="E2071" s="46"/>
      <c r="F2071" s="46"/>
      <c r="G2071" s="46"/>
      <c r="H2071" s="46"/>
      <c r="I2071" s="46"/>
      <c r="J2071" s="46"/>
      <c r="K2071" s="46"/>
    </row>
    <row r="2072" spans="1:11">
      <c r="A2072" s="45"/>
      <c r="B2072" s="45"/>
      <c r="C2072" s="45"/>
      <c r="D2072" s="46"/>
      <c r="E2072" s="46"/>
      <c r="F2072" s="46"/>
      <c r="G2072" s="46"/>
      <c r="H2072" s="46"/>
      <c r="I2072" s="46"/>
      <c r="J2072" s="46"/>
      <c r="K2072" s="46"/>
    </row>
    <row r="2073" spans="1:11">
      <c r="A2073" s="45"/>
      <c r="B2073" s="45"/>
      <c r="C2073" s="45"/>
      <c r="D2073" s="46"/>
      <c r="E2073" s="46"/>
      <c r="F2073" s="46"/>
      <c r="G2073" s="46"/>
      <c r="H2073" s="46"/>
      <c r="I2073" s="46"/>
      <c r="J2073" s="46"/>
      <c r="K2073" s="46"/>
    </row>
    <row r="2074" spans="1:11">
      <c r="A2074" s="45"/>
      <c r="B2074" s="45"/>
      <c r="C2074" s="45"/>
      <c r="D2074" s="46"/>
      <c r="E2074" s="46"/>
      <c r="F2074" s="46"/>
      <c r="G2074" s="46"/>
      <c r="H2074" s="46"/>
      <c r="I2074" s="46"/>
      <c r="J2074" s="46"/>
      <c r="K2074" s="46"/>
    </row>
    <row r="2075" spans="1:11">
      <c r="A2075" s="45"/>
      <c r="B2075" s="45"/>
      <c r="C2075" s="45"/>
      <c r="D2075" s="46"/>
      <c r="E2075" s="46"/>
      <c r="F2075" s="46"/>
      <c r="G2075" s="46"/>
      <c r="H2075" s="46"/>
      <c r="I2075" s="46"/>
      <c r="J2075" s="46"/>
      <c r="K2075" s="46"/>
    </row>
    <row r="2076" spans="1:11">
      <c r="A2076" s="45"/>
      <c r="B2076" s="45"/>
      <c r="C2076" s="45"/>
      <c r="D2076" s="46"/>
      <c r="E2076" s="46"/>
      <c r="F2076" s="46"/>
      <c r="G2076" s="46"/>
      <c r="H2076" s="46"/>
      <c r="I2076" s="46"/>
      <c r="J2076" s="46"/>
      <c r="K2076" s="46"/>
    </row>
    <row r="2077" spans="1:11">
      <c r="A2077" s="45"/>
      <c r="B2077" s="45"/>
      <c r="C2077" s="45"/>
      <c r="D2077" s="46"/>
      <c r="E2077" s="46"/>
      <c r="F2077" s="46"/>
      <c r="G2077" s="46"/>
      <c r="H2077" s="46"/>
      <c r="I2077" s="46"/>
      <c r="J2077" s="46"/>
      <c r="K2077" s="46"/>
    </row>
    <row r="2078" spans="1:11">
      <c r="A2078" s="45"/>
      <c r="B2078" s="45"/>
      <c r="C2078" s="45"/>
      <c r="D2078" s="46"/>
      <c r="E2078" s="46"/>
      <c r="F2078" s="46"/>
      <c r="G2078" s="46"/>
      <c r="H2078" s="46"/>
      <c r="I2078" s="46"/>
      <c r="J2078" s="46"/>
      <c r="K2078" s="46"/>
    </row>
    <row r="2079" spans="1:11">
      <c r="A2079" s="45"/>
      <c r="B2079" s="45"/>
      <c r="C2079" s="45"/>
      <c r="D2079" s="46"/>
      <c r="E2079" s="46"/>
      <c r="F2079" s="46"/>
      <c r="G2079" s="46"/>
      <c r="H2079" s="46"/>
      <c r="I2079" s="46"/>
      <c r="J2079" s="46"/>
      <c r="K2079" s="46"/>
    </row>
    <row r="2080" spans="1:11">
      <c r="A2080" s="45"/>
      <c r="B2080" s="45"/>
      <c r="C2080" s="45"/>
      <c r="D2080" s="46"/>
      <c r="E2080" s="46"/>
      <c r="F2080" s="46"/>
      <c r="G2080" s="46"/>
      <c r="H2080" s="46"/>
      <c r="I2080" s="46"/>
      <c r="J2080" s="46"/>
      <c r="K2080" s="46"/>
    </row>
    <row r="2081" spans="1:11">
      <c r="A2081" s="45"/>
      <c r="B2081" s="45"/>
      <c r="C2081" s="45"/>
      <c r="D2081" s="46"/>
      <c r="E2081" s="46"/>
      <c r="F2081" s="46"/>
      <c r="G2081" s="46"/>
      <c r="H2081" s="46"/>
      <c r="I2081" s="46"/>
      <c r="J2081" s="46"/>
      <c r="K2081" s="46"/>
    </row>
    <row r="2082" spans="1:11">
      <c r="A2082" s="45"/>
      <c r="B2082" s="45"/>
      <c r="C2082" s="45"/>
      <c r="D2082" s="46"/>
      <c r="E2082" s="46"/>
      <c r="F2082" s="46"/>
      <c r="G2082" s="46"/>
      <c r="H2082" s="46"/>
      <c r="I2082" s="46"/>
      <c r="J2082" s="46"/>
      <c r="K2082" s="46"/>
    </row>
    <row r="2083" spans="1:11">
      <c r="A2083" s="45"/>
      <c r="B2083" s="45"/>
      <c r="C2083" s="45"/>
      <c r="D2083" s="46"/>
      <c r="E2083" s="46"/>
      <c r="F2083" s="46"/>
      <c r="G2083" s="46"/>
      <c r="H2083" s="46"/>
      <c r="I2083" s="46"/>
      <c r="J2083" s="46"/>
      <c r="K2083" s="46"/>
    </row>
    <row r="2084" spans="1:11">
      <c r="A2084" s="45"/>
      <c r="B2084" s="45"/>
      <c r="C2084" s="45"/>
      <c r="D2084" s="46"/>
      <c r="E2084" s="46"/>
      <c r="F2084" s="46"/>
      <c r="G2084" s="46"/>
      <c r="H2084" s="46"/>
      <c r="I2084" s="46"/>
      <c r="J2084" s="46"/>
      <c r="K2084" s="46"/>
    </row>
    <row r="2085" spans="1:11">
      <c r="A2085" s="45"/>
      <c r="B2085" s="45"/>
      <c r="C2085" s="45"/>
      <c r="D2085" s="46"/>
      <c r="E2085" s="46"/>
      <c r="F2085" s="46"/>
      <c r="G2085" s="46"/>
      <c r="H2085" s="46"/>
      <c r="I2085" s="46"/>
      <c r="J2085" s="46"/>
      <c r="K2085" s="46"/>
    </row>
    <row r="2086" spans="1:11">
      <c r="A2086" s="45"/>
      <c r="B2086" s="45"/>
      <c r="C2086" s="45"/>
      <c r="D2086" s="46"/>
      <c r="E2086" s="46"/>
      <c r="F2086" s="46"/>
      <c r="G2086" s="46"/>
      <c r="H2086" s="46"/>
      <c r="I2086" s="46"/>
      <c r="J2086" s="46"/>
      <c r="K2086" s="46"/>
    </row>
    <row r="2087" spans="1:11">
      <c r="A2087" s="45"/>
      <c r="B2087" s="45"/>
      <c r="C2087" s="45"/>
      <c r="D2087" s="46"/>
      <c r="E2087" s="46"/>
      <c r="F2087" s="46"/>
      <c r="G2087" s="46"/>
      <c r="H2087" s="46"/>
      <c r="I2087" s="46"/>
      <c r="J2087" s="46"/>
      <c r="K2087" s="46"/>
    </row>
    <row r="2088" spans="1:11">
      <c r="A2088" s="45"/>
      <c r="B2088" s="45"/>
      <c r="C2088" s="45"/>
      <c r="D2088" s="46"/>
      <c r="E2088" s="46"/>
      <c r="F2088" s="46"/>
      <c r="G2088" s="46"/>
      <c r="H2088" s="46"/>
      <c r="I2088" s="46"/>
      <c r="J2088" s="46"/>
      <c r="K2088" s="46"/>
    </row>
    <row r="2089" spans="1:11">
      <c r="A2089" s="45"/>
      <c r="B2089" s="45"/>
      <c r="C2089" s="45"/>
      <c r="D2089" s="46"/>
      <c r="E2089" s="46"/>
      <c r="F2089" s="46"/>
      <c r="G2089" s="46"/>
      <c r="H2089" s="46"/>
      <c r="I2089" s="46"/>
      <c r="J2089" s="46"/>
      <c r="K2089" s="46"/>
    </row>
    <row r="2090" spans="1:11">
      <c r="A2090" s="45"/>
      <c r="B2090" s="45"/>
      <c r="C2090" s="45"/>
      <c r="D2090" s="46"/>
      <c r="E2090" s="46"/>
      <c r="F2090" s="46"/>
      <c r="G2090" s="46"/>
      <c r="H2090" s="46"/>
      <c r="I2090" s="46"/>
      <c r="J2090" s="46"/>
      <c r="K2090" s="46"/>
    </row>
    <row r="2091" spans="1:11">
      <c r="A2091" s="45"/>
      <c r="B2091" s="45"/>
      <c r="C2091" s="45"/>
      <c r="D2091" s="46"/>
      <c r="E2091" s="46"/>
      <c r="F2091" s="46"/>
      <c r="G2091" s="46"/>
      <c r="H2091" s="46"/>
      <c r="I2091" s="46"/>
      <c r="J2091" s="46"/>
      <c r="K2091" s="46"/>
    </row>
    <row r="2092" spans="1:11">
      <c r="A2092" s="45"/>
      <c r="B2092" s="45"/>
      <c r="C2092" s="45"/>
      <c r="D2092" s="46"/>
      <c r="E2092" s="46"/>
      <c r="F2092" s="46"/>
      <c r="G2092" s="46"/>
      <c r="H2092" s="46"/>
      <c r="I2092" s="46"/>
      <c r="J2092" s="46"/>
      <c r="K2092" s="46"/>
    </row>
    <row r="2093" spans="1:11">
      <c r="A2093" s="45"/>
      <c r="B2093" s="45"/>
      <c r="C2093" s="45"/>
      <c r="D2093" s="46"/>
      <c r="E2093" s="46"/>
      <c r="F2093" s="46"/>
      <c r="G2093" s="46"/>
      <c r="H2093" s="46"/>
      <c r="I2093" s="46"/>
      <c r="J2093" s="46"/>
      <c r="K2093" s="46"/>
    </row>
    <row r="2094" spans="1:11">
      <c r="A2094" s="45"/>
      <c r="B2094" s="45"/>
      <c r="C2094" s="45"/>
      <c r="D2094" s="46"/>
      <c r="E2094" s="46"/>
      <c r="F2094" s="46"/>
      <c r="G2094" s="46"/>
      <c r="H2094" s="46"/>
      <c r="I2094" s="46"/>
      <c r="J2094" s="46"/>
      <c r="K2094" s="46"/>
    </row>
    <row r="2095" spans="1:11">
      <c r="A2095" s="45"/>
      <c r="B2095" s="45"/>
      <c r="C2095" s="45"/>
      <c r="D2095" s="46"/>
      <c r="E2095" s="46"/>
      <c r="F2095" s="46"/>
      <c r="G2095" s="46"/>
      <c r="H2095" s="46"/>
      <c r="I2095" s="46"/>
      <c r="J2095" s="46"/>
      <c r="K2095" s="46"/>
    </row>
    <row r="2096" spans="1:11">
      <c r="A2096" s="45"/>
      <c r="B2096" s="45"/>
      <c r="C2096" s="45"/>
      <c r="D2096" s="46"/>
      <c r="E2096" s="46"/>
      <c r="F2096" s="46"/>
      <c r="G2096" s="46"/>
      <c r="H2096" s="46"/>
      <c r="I2096" s="46"/>
      <c r="J2096" s="46"/>
      <c r="K2096" s="46"/>
    </row>
    <row r="2097" spans="1:11">
      <c r="A2097" s="45"/>
      <c r="B2097" s="45"/>
      <c r="C2097" s="45"/>
      <c r="D2097" s="46"/>
      <c r="E2097" s="46"/>
      <c r="F2097" s="46"/>
      <c r="G2097" s="46"/>
      <c r="H2097" s="46"/>
      <c r="I2097" s="46"/>
      <c r="J2097" s="46"/>
      <c r="K2097" s="46"/>
    </row>
    <row r="2098" spans="1:11">
      <c r="A2098" s="45"/>
      <c r="B2098" s="45"/>
      <c r="C2098" s="45"/>
      <c r="D2098" s="46"/>
      <c r="E2098" s="46"/>
      <c r="F2098" s="46"/>
      <c r="G2098" s="46"/>
      <c r="H2098" s="46"/>
      <c r="I2098" s="46"/>
      <c r="J2098" s="46"/>
      <c r="K2098" s="46"/>
    </row>
    <row r="2099" spans="1:11">
      <c r="A2099" s="45"/>
      <c r="B2099" s="45"/>
      <c r="C2099" s="45"/>
      <c r="D2099" s="46"/>
      <c r="E2099" s="46"/>
      <c r="F2099" s="46"/>
      <c r="G2099" s="46"/>
      <c r="H2099" s="46"/>
      <c r="I2099" s="46"/>
      <c r="J2099" s="46"/>
      <c r="K2099" s="46"/>
    </row>
    <row r="2100" spans="1:11">
      <c r="A2100" s="45"/>
      <c r="B2100" s="45"/>
      <c r="C2100" s="45"/>
      <c r="D2100" s="46"/>
      <c r="E2100" s="46"/>
      <c r="F2100" s="46"/>
      <c r="G2100" s="46"/>
      <c r="H2100" s="46"/>
      <c r="I2100" s="46"/>
      <c r="J2100" s="46"/>
      <c r="K2100" s="46"/>
    </row>
    <row r="2101" spans="1:11">
      <c r="A2101" s="45"/>
      <c r="B2101" s="45"/>
      <c r="C2101" s="45"/>
      <c r="D2101" s="46"/>
      <c r="E2101" s="46"/>
      <c r="F2101" s="46"/>
      <c r="G2101" s="46"/>
      <c r="H2101" s="46"/>
      <c r="I2101" s="46"/>
      <c r="J2101" s="46"/>
      <c r="K2101" s="46"/>
    </row>
    <row r="2102" spans="1:11">
      <c r="A2102" s="45"/>
      <c r="B2102" s="45"/>
      <c r="C2102" s="45"/>
      <c r="D2102" s="46"/>
      <c r="E2102" s="46"/>
      <c r="F2102" s="46"/>
      <c r="G2102" s="46"/>
      <c r="H2102" s="46"/>
      <c r="I2102" s="46"/>
      <c r="J2102" s="46"/>
      <c r="K2102" s="46"/>
    </row>
    <row r="2103" spans="1:11">
      <c r="A2103" s="45"/>
      <c r="B2103" s="45"/>
      <c r="C2103" s="45"/>
      <c r="D2103" s="46"/>
      <c r="E2103" s="46"/>
      <c r="F2103" s="46"/>
      <c r="G2103" s="46"/>
      <c r="H2103" s="46"/>
      <c r="I2103" s="46"/>
      <c r="J2103" s="46"/>
      <c r="K2103" s="46"/>
    </row>
    <row r="2104" spans="1:11">
      <c r="A2104" s="45"/>
      <c r="B2104" s="45"/>
      <c r="C2104" s="45"/>
      <c r="D2104" s="46"/>
      <c r="E2104" s="46"/>
      <c r="F2104" s="46"/>
      <c r="G2104" s="46"/>
      <c r="H2104" s="46"/>
      <c r="I2104" s="46"/>
      <c r="J2104" s="46"/>
      <c r="K2104" s="46"/>
    </row>
    <row r="2105" spans="1:11">
      <c r="A2105" s="45"/>
      <c r="B2105" s="45"/>
      <c r="C2105" s="45"/>
      <c r="D2105" s="46"/>
      <c r="E2105" s="46"/>
      <c r="F2105" s="46"/>
      <c r="G2105" s="46"/>
      <c r="H2105" s="46"/>
      <c r="I2105" s="46"/>
      <c r="J2105" s="46"/>
      <c r="K2105" s="46"/>
    </row>
    <row r="2106" spans="1:11">
      <c r="A2106" s="45"/>
      <c r="B2106" s="45"/>
      <c r="C2106" s="45"/>
      <c r="D2106" s="46"/>
      <c r="E2106" s="46"/>
      <c r="F2106" s="46"/>
      <c r="G2106" s="46"/>
      <c r="H2106" s="46"/>
      <c r="I2106" s="46"/>
      <c r="J2106" s="46"/>
      <c r="K2106" s="46"/>
    </row>
    <row r="2107" spans="1:11">
      <c r="A2107" s="45"/>
      <c r="B2107" s="45"/>
      <c r="C2107" s="45"/>
      <c r="D2107" s="46"/>
      <c r="E2107" s="46"/>
      <c r="F2107" s="46"/>
      <c r="G2107" s="46"/>
      <c r="H2107" s="46"/>
      <c r="I2107" s="46"/>
      <c r="J2107" s="46"/>
      <c r="K2107" s="46"/>
    </row>
    <row r="2108" spans="1:11">
      <c r="A2108" s="45"/>
      <c r="B2108" s="45"/>
      <c r="C2108" s="45"/>
      <c r="D2108" s="46"/>
      <c r="E2108" s="46"/>
      <c r="F2108" s="46"/>
      <c r="G2108" s="46"/>
      <c r="H2108" s="46"/>
      <c r="I2108" s="46"/>
      <c r="J2108" s="46"/>
      <c r="K2108" s="46"/>
    </row>
    <row r="2109" spans="1:11">
      <c r="A2109" s="45"/>
      <c r="B2109" s="45"/>
      <c r="C2109" s="45"/>
      <c r="D2109" s="46"/>
      <c r="E2109" s="46"/>
      <c r="F2109" s="46"/>
      <c r="G2109" s="46"/>
      <c r="H2109" s="46"/>
      <c r="I2109" s="46"/>
      <c r="J2109" s="46"/>
      <c r="K2109" s="46"/>
    </row>
    <row r="2110" spans="1:11">
      <c r="A2110" s="45"/>
      <c r="B2110" s="45"/>
      <c r="C2110" s="45"/>
      <c r="D2110" s="46"/>
      <c r="E2110" s="46"/>
      <c r="F2110" s="46"/>
      <c r="G2110" s="46"/>
      <c r="H2110" s="46"/>
      <c r="I2110" s="46"/>
      <c r="J2110" s="46"/>
      <c r="K2110" s="46"/>
    </row>
    <row r="2111" spans="1:11">
      <c r="A2111" s="45"/>
      <c r="B2111" s="45"/>
      <c r="C2111" s="45"/>
      <c r="D2111" s="46"/>
      <c r="E2111" s="46"/>
      <c r="F2111" s="46"/>
      <c r="G2111" s="46"/>
      <c r="H2111" s="46"/>
      <c r="I2111" s="46"/>
      <c r="J2111" s="46"/>
      <c r="K2111" s="46"/>
    </row>
    <row r="2112" spans="1:11">
      <c r="A2112" s="45"/>
      <c r="B2112" s="45"/>
      <c r="C2112" s="45"/>
      <c r="D2112" s="46"/>
      <c r="E2112" s="46"/>
      <c r="F2112" s="46"/>
      <c r="G2112" s="46"/>
      <c r="H2112" s="46"/>
      <c r="I2112" s="46"/>
      <c r="J2112" s="46"/>
      <c r="K2112" s="46"/>
    </row>
    <row r="2113" spans="1:11">
      <c r="A2113" s="45"/>
      <c r="B2113" s="45"/>
      <c r="C2113" s="45"/>
      <c r="D2113" s="46"/>
      <c r="E2113" s="46"/>
      <c r="F2113" s="46"/>
      <c r="G2113" s="46"/>
      <c r="H2113" s="46"/>
      <c r="I2113" s="46"/>
      <c r="J2113" s="46"/>
      <c r="K2113" s="46"/>
    </row>
    <row r="2114" spans="1:11">
      <c r="A2114" s="45"/>
      <c r="B2114" s="45"/>
      <c r="C2114" s="45"/>
      <c r="D2114" s="46"/>
      <c r="E2114" s="46"/>
      <c r="F2114" s="46"/>
      <c r="G2114" s="46"/>
      <c r="H2114" s="46"/>
      <c r="I2114" s="46"/>
      <c r="J2114" s="46"/>
      <c r="K2114" s="46"/>
    </row>
    <row r="2115" spans="1:11">
      <c r="A2115" s="45"/>
      <c r="B2115" s="45"/>
      <c r="C2115" s="45"/>
      <c r="D2115" s="46"/>
      <c r="E2115" s="46"/>
      <c r="F2115" s="46"/>
      <c r="G2115" s="46"/>
      <c r="H2115" s="46"/>
      <c r="I2115" s="46"/>
      <c r="J2115" s="46"/>
      <c r="K2115" s="46"/>
    </row>
    <row r="2116" spans="1:11">
      <c r="A2116" s="45"/>
      <c r="B2116" s="45"/>
      <c r="C2116" s="45"/>
      <c r="D2116" s="46"/>
      <c r="E2116" s="46"/>
      <c r="F2116" s="46"/>
      <c r="G2116" s="46"/>
      <c r="H2116" s="46"/>
      <c r="I2116" s="46"/>
      <c r="J2116" s="46"/>
      <c r="K2116" s="46"/>
    </row>
    <row r="2117" spans="1:11">
      <c r="A2117" s="45"/>
      <c r="B2117" s="45"/>
      <c r="C2117" s="45"/>
      <c r="D2117" s="46"/>
      <c r="E2117" s="46"/>
      <c r="F2117" s="46"/>
      <c r="G2117" s="46"/>
      <c r="H2117" s="46"/>
      <c r="I2117" s="46"/>
      <c r="J2117" s="46"/>
      <c r="K2117" s="46"/>
    </row>
    <row r="2118" spans="1:11">
      <c r="A2118" s="45"/>
      <c r="B2118" s="45"/>
      <c r="C2118" s="45"/>
      <c r="D2118" s="46"/>
      <c r="E2118" s="46"/>
      <c r="F2118" s="46"/>
      <c r="G2118" s="46"/>
      <c r="H2118" s="46"/>
      <c r="I2118" s="46"/>
      <c r="J2118" s="46"/>
      <c r="K2118" s="46"/>
    </row>
    <row r="2119" spans="1:11">
      <c r="A2119" s="45"/>
      <c r="B2119" s="45"/>
      <c r="C2119" s="45"/>
      <c r="D2119" s="46"/>
      <c r="E2119" s="46"/>
      <c r="F2119" s="46"/>
      <c r="G2119" s="46"/>
      <c r="H2119" s="46"/>
      <c r="I2119" s="46"/>
      <c r="J2119" s="46"/>
      <c r="K2119" s="46"/>
    </row>
    <row r="2120" spans="1:11">
      <c r="A2120" s="45"/>
      <c r="B2120" s="45"/>
      <c r="C2120" s="45"/>
      <c r="D2120" s="46"/>
      <c r="E2120" s="46"/>
      <c r="F2120" s="46"/>
      <c r="G2120" s="46"/>
      <c r="H2120" s="46"/>
      <c r="I2120" s="46"/>
      <c r="J2120" s="46"/>
      <c r="K2120" s="46"/>
    </row>
    <row r="2121" spans="1:11">
      <c r="A2121" s="45"/>
      <c r="B2121" s="45"/>
      <c r="C2121" s="45"/>
      <c r="D2121" s="46"/>
      <c r="E2121" s="46"/>
      <c r="F2121" s="46"/>
      <c r="G2121" s="46"/>
      <c r="H2121" s="46"/>
      <c r="I2121" s="46"/>
      <c r="J2121" s="46"/>
      <c r="K2121" s="46"/>
    </row>
    <row r="2122" spans="1:11">
      <c r="A2122" s="45"/>
      <c r="B2122" s="45"/>
      <c r="C2122" s="45"/>
      <c r="D2122" s="46"/>
      <c r="E2122" s="46"/>
      <c r="F2122" s="46"/>
      <c r="G2122" s="46"/>
      <c r="H2122" s="46"/>
      <c r="I2122" s="46"/>
      <c r="J2122" s="46"/>
      <c r="K2122" s="46"/>
    </row>
    <row r="2123" spans="1:11">
      <c r="A2123" s="45"/>
      <c r="B2123" s="45"/>
      <c r="C2123" s="45"/>
      <c r="D2123" s="46"/>
      <c r="E2123" s="46"/>
      <c r="F2123" s="46"/>
      <c r="G2123" s="46"/>
      <c r="H2123" s="46"/>
      <c r="I2123" s="46"/>
      <c r="J2123" s="46"/>
      <c r="K2123" s="46"/>
    </row>
    <row r="2124" spans="1:11">
      <c r="A2124" s="45"/>
      <c r="B2124" s="45"/>
      <c r="C2124" s="45"/>
      <c r="D2124" s="46"/>
      <c r="E2124" s="46"/>
      <c r="F2124" s="46"/>
      <c r="G2124" s="46"/>
      <c r="H2124" s="46"/>
      <c r="I2124" s="46"/>
      <c r="J2124" s="46"/>
      <c r="K2124" s="46"/>
    </row>
    <row r="2125" spans="1:11">
      <c r="A2125" s="45"/>
      <c r="B2125" s="45"/>
      <c r="C2125" s="45"/>
      <c r="D2125" s="46"/>
      <c r="E2125" s="46"/>
      <c r="F2125" s="46"/>
      <c r="G2125" s="46"/>
      <c r="H2125" s="46"/>
      <c r="I2125" s="46"/>
      <c r="J2125" s="46"/>
      <c r="K2125" s="46"/>
    </row>
    <row r="2126" spans="1:11">
      <c r="A2126" s="45"/>
      <c r="B2126" s="45"/>
      <c r="C2126" s="45"/>
      <c r="D2126" s="46"/>
      <c r="E2126" s="46"/>
      <c r="F2126" s="46"/>
      <c r="G2126" s="46"/>
      <c r="H2126" s="46"/>
      <c r="I2126" s="46"/>
      <c r="J2126" s="46"/>
      <c r="K2126" s="46"/>
    </row>
    <row r="2127" spans="1:11">
      <c r="A2127" s="45"/>
      <c r="B2127" s="45"/>
      <c r="C2127" s="45"/>
      <c r="D2127" s="46"/>
      <c r="E2127" s="46"/>
      <c r="F2127" s="46"/>
      <c r="G2127" s="46"/>
      <c r="H2127" s="46"/>
      <c r="I2127" s="46"/>
      <c r="J2127" s="46"/>
      <c r="K2127" s="46"/>
    </row>
    <row r="2128" spans="1:11">
      <c r="A2128" s="45"/>
      <c r="B2128" s="45"/>
      <c r="C2128" s="45"/>
      <c r="D2128" s="46"/>
      <c r="E2128" s="46"/>
      <c r="F2128" s="46"/>
      <c r="G2128" s="46"/>
      <c r="H2128" s="46"/>
      <c r="I2128" s="46"/>
      <c r="J2128" s="46"/>
      <c r="K2128" s="46"/>
    </row>
    <row r="2129" spans="1:11">
      <c r="A2129" s="45"/>
      <c r="B2129" s="45"/>
      <c r="C2129" s="45"/>
      <c r="D2129" s="46"/>
      <c r="E2129" s="46"/>
      <c r="F2129" s="46"/>
      <c r="G2129" s="46"/>
      <c r="H2129" s="46"/>
      <c r="I2129" s="46"/>
      <c r="J2129" s="46"/>
      <c r="K2129" s="46"/>
    </row>
    <row r="2130" spans="1:11">
      <c r="A2130" s="45"/>
      <c r="B2130" s="45"/>
      <c r="C2130" s="45"/>
      <c r="D2130" s="46"/>
      <c r="E2130" s="46"/>
      <c r="F2130" s="46"/>
      <c r="G2130" s="46"/>
      <c r="H2130" s="46"/>
      <c r="I2130" s="46"/>
      <c r="J2130" s="46"/>
      <c r="K2130" s="46"/>
    </row>
    <row r="2131" spans="1:11">
      <c r="A2131" s="45"/>
      <c r="B2131" s="45"/>
      <c r="C2131" s="45"/>
      <c r="D2131" s="46"/>
      <c r="E2131" s="46"/>
      <c r="F2131" s="46"/>
      <c r="G2131" s="46"/>
      <c r="H2131" s="46"/>
      <c r="I2131" s="46"/>
      <c r="J2131" s="46"/>
      <c r="K2131" s="46"/>
    </row>
    <row r="2132" spans="1:11">
      <c r="A2132" s="45"/>
      <c r="B2132" s="45"/>
      <c r="C2132" s="45"/>
      <c r="D2132" s="46"/>
      <c r="E2132" s="46"/>
      <c r="F2132" s="46"/>
      <c r="G2132" s="46"/>
      <c r="H2132" s="46"/>
      <c r="I2132" s="46"/>
      <c r="J2132" s="46"/>
      <c r="K2132" s="46"/>
    </row>
    <row r="2133" spans="1:11">
      <c r="A2133" s="45"/>
      <c r="B2133" s="45"/>
      <c r="C2133" s="45"/>
      <c r="D2133" s="46"/>
      <c r="E2133" s="46"/>
      <c r="F2133" s="46"/>
      <c r="G2133" s="46"/>
      <c r="H2133" s="46"/>
      <c r="I2133" s="46"/>
      <c r="J2133" s="46"/>
      <c r="K2133" s="46"/>
    </row>
    <row r="2134" spans="1:11">
      <c r="A2134" s="45"/>
      <c r="B2134" s="45"/>
      <c r="C2134" s="45"/>
      <c r="D2134" s="46"/>
      <c r="E2134" s="46"/>
      <c r="F2134" s="46"/>
      <c r="G2134" s="46"/>
      <c r="H2134" s="46"/>
      <c r="I2134" s="46"/>
      <c r="J2134" s="46"/>
      <c r="K2134" s="46"/>
    </row>
    <row r="2135" spans="1:11">
      <c r="A2135" s="45"/>
      <c r="B2135" s="45"/>
      <c r="C2135" s="45"/>
      <c r="D2135" s="46"/>
      <c r="E2135" s="46"/>
      <c r="F2135" s="46"/>
      <c r="G2135" s="46"/>
      <c r="H2135" s="46"/>
      <c r="I2135" s="46"/>
      <c r="J2135" s="46"/>
      <c r="K2135" s="46"/>
    </row>
    <row r="2136" spans="1:11">
      <c r="A2136" s="45"/>
      <c r="B2136" s="45"/>
      <c r="C2136" s="45"/>
      <c r="D2136" s="46"/>
      <c r="E2136" s="46"/>
      <c r="F2136" s="46"/>
      <c r="G2136" s="46"/>
      <c r="H2136" s="46"/>
      <c r="I2136" s="46"/>
      <c r="J2136" s="46"/>
      <c r="K2136" s="46"/>
    </row>
    <row r="2137" spans="1:11">
      <c r="A2137" s="45"/>
      <c r="B2137" s="45"/>
      <c r="C2137" s="45"/>
      <c r="D2137" s="46"/>
      <c r="E2137" s="46"/>
      <c r="F2137" s="46"/>
      <c r="G2137" s="46"/>
      <c r="H2137" s="46"/>
      <c r="I2137" s="46"/>
      <c r="J2137" s="46"/>
      <c r="K2137" s="46"/>
    </row>
    <row r="2138" spans="1:11">
      <c r="A2138" s="45"/>
      <c r="B2138" s="45"/>
      <c r="C2138" s="45"/>
      <c r="D2138" s="46"/>
      <c r="E2138" s="46"/>
      <c r="F2138" s="46"/>
      <c r="G2138" s="46"/>
      <c r="H2138" s="46"/>
      <c r="I2138" s="46"/>
      <c r="J2138" s="46"/>
      <c r="K2138" s="46"/>
    </row>
    <row r="2139" spans="1:11">
      <c r="A2139" s="45"/>
      <c r="B2139" s="45"/>
      <c r="C2139" s="45"/>
      <c r="D2139" s="46"/>
      <c r="E2139" s="46"/>
      <c r="F2139" s="46"/>
      <c r="G2139" s="46"/>
      <c r="H2139" s="46"/>
      <c r="I2139" s="46"/>
      <c r="J2139" s="46"/>
      <c r="K2139" s="46"/>
    </row>
    <row r="2140" spans="1:11">
      <c r="A2140" s="45"/>
      <c r="B2140" s="45"/>
      <c r="C2140" s="45"/>
      <c r="D2140" s="46"/>
      <c r="E2140" s="46"/>
      <c r="F2140" s="46"/>
      <c r="G2140" s="46"/>
      <c r="H2140" s="46"/>
      <c r="I2140" s="46"/>
      <c r="J2140" s="46"/>
      <c r="K2140" s="46"/>
    </row>
    <row r="2141" spans="1:11">
      <c r="A2141" s="45"/>
      <c r="B2141" s="45"/>
      <c r="C2141" s="45"/>
      <c r="D2141" s="46"/>
      <c r="E2141" s="46"/>
      <c r="F2141" s="46"/>
      <c r="G2141" s="46"/>
      <c r="H2141" s="46"/>
      <c r="I2141" s="46"/>
      <c r="J2141" s="46"/>
      <c r="K2141" s="46"/>
    </row>
    <row r="2142" spans="1:11">
      <c r="A2142" s="45"/>
      <c r="B2142" s="45"/>
      <c r="C2142" s="45"/>
      <c r="D2142" s="46"/>
      <c r="E2142" s="46"/>
      <c r="F2142" s="46"/>
      <c r="G2142" s="46"/>
      <c r="H2142" s="46"/>
      <c r="I2142" s="46"/>
      <c r="J2142" s="46"/>
      <c r="K2142" s="46"/>
    </row>
    <row r="2143" spans="1:11">
      <c r="A2143" s="45"/>
      <c r="B2143" s="45"/>
      <c r="C2143" s="45"/>
      <c r="D2143" s="46"/>
      <c r="E2143" s="46"/>
      <c r="F2143" s="46"/>
      <c r="G2143" s="46"/>
      <c r="H2143" s="46"/>
      <c r="I2143" s="46"/>
      <c r="J2143" s="46"/>
      <c r="K2143" s="46"/>
    </row>
    <row r="2144" spans="1:11">
      <c r="A2144" s="45"/>
      <c r="B2144" s="45"/>
      <c r="C2144" s="45"/>
      <c r="D2144" s="46"/>
      <c r="E2144" s="46"/>
      <c r="F2144" s="46"/>
      <c r="G2144" s="46"/>
      <c r="H2144" s="46"/>
      <c r="I2144" s="46"/>
      <c r="J2144" s="46"/>
      <c r="K2144" s="46"/>
    </row>
    <row r="2145" spans="1:11">
      <c r="A2145" s="45"/>
      <c r="B2145" s="45"/>
      <c r="C2145" s="45"/>
      <c r="D2145" s="46"/>
      <c r="E2145" s="46"/>
      <c r="F2145" s="46"/>
      <c r="G2145" s="46"/>
      <c r="H2145" s="46"/>
      <c r="I2145" s="46"/>
      <c r="J2145" s="46"/>
      <c r="K2145" s="46"/>
    </row>
    <row r="2146" spans="1:11">
      <c r="A2146" s="45"/>
      <c r="B2146" s="45"/>
      <c r="C2146" s="45"/>
      <c r="D2146" s="46"/>
      <c r="E2146" s="46"/>
      <c r="F2146" s="46"/>
      <c r="G2146" s="46"/>
      <c r="H2146" s="46"/>
      <c r="I2146" s="46"/>
      <c r="J2146" s="46"/>
      <c r="K2146" s="46"/>
    </row>
    <row r="2147" spans="1:11">
      <c r="A2147" s="45"/>
      <c r="B2147" s="45"/>
      <c r="C2147" s="45"/>
      <c r="D2147" s="46"/>
      <c r="E2147" s="46"/>
      <c r="F2147" s="46"/>
      <c r="G2147" s="46"/>
      <c r="H2147" s="46"/>
      <c r="I2147" s="46"/>
      <c r="J2147" s="46"/>
      <c r="K2147" s="46"/>
    </row>
    <row r="2148" spans="1:11">
      <c r="A2148" s="45"/>
      <c r="B2148" s="45"/>
      <c r="C2148" s="45"/>
      <c r="D2148" s="46"/>
      <c r="E2148" s="46"/>
      <c r="F2148" s="46"/>
      <c r="G2148" s="46"/>
      <c r="H2148" s="46"/>
      <c r="I2148" s="46"/>
      <c r="J2148" s="46"/>
      <c r="K2148" s="46"/>
    </row>
    <row r="2149" spans="1:11">
      <c r="A2149" s="45"/>
      <c r="B2149" s="45"/>
      <c r="C2149" s="45"/>
      <c r="D2149" s="46"/>
      <c r="E2149" s="46"/>
      <c r="F2149" s="46"/>
      <c r="G2149" s="46"/>
      <c r="H2149" s="46"/>
      <c r="I2149" s="46"/>
      <c r="J2149" s="46"/>
      <c r="K2149" s="46"/>
    </row>
    <row r="2150" spans="1:11">
      <c r="A2150" s="45"/>
      <c r="B2150" s="45"/>
      <c r="C2150" s="45"/>
      <c r="D2150" s="46"/>
      <c r="E2150" s="46"/>
      <c r="F2150" s="46"/>
      <c r="G2150" s="46"/>
      <c r="H2150" s="46"/>
      <c r="I2150" s="46"/>
      <c r="J2150" s="46"/>
      <c r="K2150" s="46"/>
    </row>
    <row r="2151" spans="1:11">
      <c r="A2151" s="45"/>
      <c r="B2151" s="45"/>
      <c r="C2151" s="45"/>
      <c r="D2151" s="46"/>
      <c r="E2151" s="46"/>
      <c r="F2151" s="46"/>
      <c r="G2151" s="46"/>
      <c r="H2151" s="46"/>
      <c r="I2151" s="46"/>
      <c r="J2151" s="46"/>
      <c r="K2151" s="46"/>
    </row>
    <row r="2152" spans="1:11">
      <c r="A2152" s="45"/>
      <c r="B2152" s="45"/>
      <c r="C2152" s="45"/>
      <c r="D2152" s="46"/>
      <c r="E2152" s="46"/>
      <c r="F2152" s="46"/>
      <c r="G2152" s="46"/>
      <c r="H2152" s="46"/>
      <c r="I2152" s="46"/>
      <c r="J2152" s="46"/>
      <c r="K2152" s="46"/>
    </row>
    <row r="2153" spans="1:11">
      <c r="A2153" s="45"/>
      <c r="B2153" s="45"/>
      <c r="C2153" s="45"/>
      <c r="D2153" s="46"/>
      <c r="E2153" s="46"/>
      <c r="F2153" s="46"/>
      <c r="G2153" s="46"/>
      <c r="H2153" s="46"/>
      <c r="I2153" s="46"/>
      <c r="J2153" s="46"/>
      <c r="K2153" s="46"/>
    </row>
    <row r="2154" spans="1:11">
      <c r="A2154" s="45"/>
      <c r="B2154" s="45"/>
      <c r="C2154" s="45"/>
      <c r="D2154" s="46"/>
      <c r="E2154" s="46"/>
      <c r="F2154" s="46"/>
      <c r="G2154" s="46"/>
      <c r="H2154" s="46"/>
      <c r="I2154" s="46"/>
      <c r="J2154" s="46"/>
      <c r="K2154" s="46"/>
    </row>
    <row r="2155" spans="1:11">
      <c r="A2155" s="45"/>
      <c r="B2155" s="45"/>
      <c r="C2155" s="45"/>
      <c r="D2155" s="46"/>
      <c r="E2155" s="46"/>
      <c r="F2155" s="46"/>
      <c r="G2155" s="46"/>
      <c r="H2155" s="46"/>
      <c r="I2155" s="46"/>
      <c r="J2155" s="46"/>
      <c r="K2155" s="46"/>
    </row>
    <row r="2156" spans="1:11">
      <c r="A2156" s="45"/>
      <c r="B2156" s="45"/>
      <c r="C2156" s="45"/>
      <c r="D2156" s="46"/>
      <c r="E2156" s="46"/>
      <c r="F2156" s="46"/>
      <c r="G2156" s="46"/>
      <c r="H2156" s="46"/>
      <c r="I2156" s="46"/>
      <c r="J2156" s="46"/>
      <c r="K2156" s="46"/>
    </row>
    <row r="2157" spans="1:11">
      <c r="A2157" s="45"/>
      <c r="B2157" s="45"/>
      <c r="C2157" s="45"/>
      <c r="D2157" s="46"/>
      <c r="E2157" s="46"/>
      <c r="F2157" s="46"/>
      <c r="G2157" s="46"/>
      <c r="H2157" s="46"/>
      <c r="I2157" s="46"/>
      <c r="J2157" s="46"/>
      <c r="K2157" s="46"/>
    </row>
    <row r="2158" spans="1:11">
      <c r="A2158" s="45"/>
      <c r="B2158" s="45"/>
      <c r="C2158" s="45"/>
      <c r="D2158" s="46"/>
      <c r="E2158" s="46"/>
      <c r="F2158" s="46"/>
      <c r="G2158" s="46"/>
      <c r="H2158" s="46"/>
      <c r="I2158" s="46"/>
      <c r="J2158" s="46"/>
      <c r="K2158" s="46"/>
    </row>
    <row r="2159" spans="1:11">
      <c r="A2159" s="45"/>
      <c r="B2159" s="45"/>
      <c r="C2159" s="45"/>
      <c r="D2159" s="46"/>
      <c r="E2159" s="46"/>
      <c r="F2159" s="46"/>
      <c r="G2159" s="46"/>
      <c r="H2159" s="46"/>
      <c r="I2159" s="46"/>
      <c r="J2159" s="46"/>
      <c r="K2159" s="46"/>
    </row>
    <row r="2160" spans="1:11">
      <c r="A2160" s="45"/>
      <c r="B2160" s="45"/>
      <c r="C2160" s="45"/>
      <c r="D2160" s="46"/>
      <c r="E2160" s="46"/>
      <c r="F2160" s="46"/>
      <c r="G2160" s="46"/>
      <c r="H2160" s="46"/>
      <c r="I2160" s="46"/>
      <c r="J2160" s="46"/>
      <c r="K2160" s="46"/>
    </row>
    <row r="2161" spans="1:11">
      <c r="A2161" s="45"/>
      <c r="B2161" s="45"/>
      <c r="C2161" s="45"/>
      <c r="D2161" s="46"/>
      <c r="E2161" s="46"/>
      <c r="F2161" s="46"/>
      <c r="G2161" s="46"/>
      <c r="H2161" s="46"/>
      <c r="I2161" s="46"/>
      <c r="J2161" s="46"/>
      <c r="K2161" s="46"/>
    </row>
    <row r="2162" spans="1:11">
      <c r="A2162" s="45"/>
      <c r="B2162" s="45"/>
      <c r="C2162" s="45"/>
      <c r="D2162" s="46"/>
      <c r="E2162" s="46"/>
      <c r="F2162" s="46"/>
      <c r="G2162" s="46"/>
      <c r="H2162" s="46"/>
      <c r="I2162" s="46"/>
      <c r="J2162" s="46"/>
      <c r="K2162" s="46"/>
    </row>
    <row r="2163" spans="1:11">
      <c r="A2163" s="45"/>
      <c r="B2163" s="45"/>
      <c r="C2163" s="45"/>
      <c r="D2163" s="46"/>
      <c r="E2163" s="46"/>
      <c r="F2163" s="46"/>
      <c r="G2163" s="46"/>
      <c r="H2163" s="46"/>
      <c r="I2163" s="46"/>
      <c r="J2163" s="46"/>
      <c r="K2163" s="46"/>
    </row>
    <row r="2164" spans="1:11">
      <c r="A2164" s="45"/>
      <c r="B2164" s="45"/>
      <c r="C2164" s="45"/>
      <c r="D2164" s="46"/>
      <c r="E2164" s="46"/>
      <c r="F2164" s="46"/>
      <c r="G2164" s="46"/>
      <c r="H2164" s="46"/>
      <c r="I2164" s="46"/>
      <c r="J2164" s="46"/>
      <c r="K2164" s="46"/>
    </row>
    <row r="2165" spans="1:11">
      <c r="A2165" s="45"/>
      <c r="B2165" s="45"/>
      <c r="C2165" s="45"/>
      <c r="D2165" s="46"/>
      <c r="E2165" s="46"/>
      <c r="F2165" s="46"/>
      <c r="G2165" s="46"/>
      <c r="H2165" s="46"/>
      <c r="I2165" s="46"/>
      <c r="J2165" s="46"/>
      <c r="K2165" s="46"/>
    </row>
    <row r="2166" spans="1:11">
      <c r="A2166" s="45"/>
      <c r="B2166" s="45"/>
      <c r="C2166" s="45"/>
      <c r="D2166" s="46"/>
      <c r="E2166" s="46"/>
      <c r="F2166" s="46"/>
      <c r="G2166" s="46"/>
      <c r="H2166" s="46"/>
      <c r="I2166" s="46"/>
      <c r="J2166" s="46"/>
      <c r="K2166" s="46"/>
    </row>
    <row r="2167" spans="1:11">
      <c r="A2167" s="45"/>
      <c r="B2167" s="45"/>
      <c r="C2167" s="45"/>
      <c r="D2167" s="46"/>
      <c r="E2167" s="46"/>
      <c r="F2167" s="46"/>
      <c r="G2167" s="46"/>
      <c r="H2167" s="46"/>
      <c r="I2167" s="46"/>
      <c r="J2167" s="46"/>
      <c r="K2167" s="46"/>
    </row>
    <row r="2168" spans="1:11">
      <c r="A2168" s="45"/>
      <c r="B2168" s="45"/>
      <c r="C2168" s="45"/>
      <c r="D2168" s="46"/>
      <c r="E2168" s="46"/>
      <c r="F2168" s="46"/>
      <c r="G2168" s="46"/>
      <c r="H2168" s="46"/>
      <c r="I2168" s="46"/>
      <c r="J2168" s="46"/>
      <c r="K2168" s="46"/>
    </row>
    <row r="2169" spans="1:11">
      <c r="A2169" s="45"/>
      <c r="B2169" s="45"/>
      <c r="C2169" s="45"/>
      <c r="D2169" s="46"/>
      <c r="E2169" s="46"/>
      <c r="F2169" s="46"/>
      <c r="G2169" s="46"/>
      <c r="H2169" s="46"/>
      <c r="I2169" s="46"/>
      <c r="J2169" s="46"/>
      <c r="K2169" s="46"/>
    </row>
    <row r="2170" spans="1:11">
      <c r="A2170" s="45"/>
      <c r="B2170" s="45"/>
      <c r="C2170" s="45"/>
      <c r="D2170" s="46"/>
      <c r="E2170" s="46"/>
      <c r="F2170" s="46"/>
      <c r="G2170" s="46"/>
      <c r="H2170" s="46"/>
      <c r="I2170" s="46"/>
      <c r="J2170" s="46"/>
      <c r="K2170" s="46"/>
    </row>
    <row r="2171" spans="1:11">
      <c r="A2171" s="45"/>
      <c r="B2171" s="45"/>
      <c r="C2171" s="45"/>
      <c r="D2171" s="46"/>
      <c r="E2171" s="46"/>
      <c r="F2171" s="46"/>
      <c r="G2171" s="46"/>
      <c r="H2171" s="46"/>
      <c r="I2171" s="46"/>
      <c r="J2171" s="46"/>
      <c r="K2171" s="46"/>
    </row>
    <row r="2172" spans="1:11">
      <c r="A2172" s="45"/>
      <c r="B2172" s="45"/>
      <c r="C2172" s="45"/>
      <c r="D2172" s="46"/>
      <c r="E2172" s="46"/>
      <c r="F2172" s="46"/>
      <c r="G2172" s="46"/>
      <c r="H2172" s="46"/>
      <c r="I2172" s="46"/>
      <c r="J2172" s="46"/>
      <c r="K2172" s="46"/>
    </row>
    <row r="2173" spans="1:11">
      <c r="A2173" s="45"/>
      <c r="B2173" s="45"/>
      <c r="C2173" s="45"/>
      <c r="D2173" s="46"/>
      <c r="E2173" s="46"/>
      <c r="F2173" s="46"/>
      <c r="G2173" s="46"/>
      <c r="H2173" s="46"/>
      <c r="I2173" s="46"/>
      <c r="J2173" s="46"/>
      <c r="K2173" s="46"/>
    </row>
    <row r="2174" spans="1:11">
      <c r="A2174" s="45"/>
      <c r="B2174" s="45"/>
      <c r="C2174" s="45"/>
      <c r="D2174" s="46"/>
      <c r="E2174" s="46"/>
      <c r="F2174" s="46"/>
      <c r="G2174" s="46"/>
      <c r="H2174" s="46"/>
      <c r="I2174" s="46"/>
      <c r="J2174" s="46"/>
      <c r="K2174" s="46"/>
    </row>
    <row r="2175" spans="1:11">
      <c r="A2175" s="45"/>
      <c r="B2175" s="45"/>
      <c r="C2175" s="45"/>
      <c r="D2175" s="46"/>
      <c r="E2175" s="46"/>
      <c r="F2175" s="46"/>
      <c r="G2175" s="46"/>
      <c r="H2175" s="46"/>
      <c r="I2175" s="46"/>
      <c r="J2175" s="46"/>
      <c r="K2175" s="46"/>
    </row>
    <row r="2176" spans="1:11">
      <c r="A2176" s="45"/>
      <c r="B2176" s="45"/>
      <c r="C2176" s="45"/>
      <c r="D2176" s="46"/>
      <c r="E2176" s="46"/>
      <c r="F2176" s="46"/>
      <c r="G2176" s="46"/>
      <c r="H2176" s="46"/>
      <c r="I2176" s="46"/>
      <c r="J2176" s="46"/>
      <c r="K2176" s="46"/>
    </row>
    <row r="2177" spans="1:11">
      <c r="A2177" s="45"/>
      <c r="B2177" s="45"/>
      <c r="C2177" s="45"/>
      <c r="D2177" s="46"/>
      <c r="E2177" s="46"/>
      <c r="F2177" s="46"/>
      <c r="G2177" s="46"/>
      <c r="H2177" s="46"/>
      <c r="I2177" s="46"/>
      <c r="J2177" s="46"/>
      <c r="K2177" s="46"/>
    </row>
    <row r="2178" spans="1:11">
      <c r="A2178" s="45"/>
      <c r="B2178" s="45"/>
      <c r="C2178" s="45"/>
      <c r="D2178" s="46"/>
      <c r="E2178" s="46"/>
      <c r="F2178" s="46"/>
      <c r="G2178" s="46"/>
      <c r="H2178" s="46"/>
      <c r="I2178" s="46"/>
      <c r="J2178" s="46"/>
      <c r="K2178" s="46"/>
    </row>
    <row r="2179" spans="1:11">
      <c r="A2179" s="45"/>
      <c r="B2179" s="45"/>
      <c r="C2179" s="45"/>
      <c r="D2179" s="46"/>
      <c r="E2179" s="46"/>
      <c r="F2179" s="46"/>
      <c r="G2179" s="46"/>
      <c r="H2179" s="46"/>
      <c r="I2179" s="46"/>
      <c r="J2179" s="46"/>
      <c r="K2179" s="46"/>
    </row>
    <row r="2180" spans="1:11">
      <c r="A2180" s="45"/>
      <c r="B2180" s="45"/>
      <c r="C2180" s="45"/>
      <c r="D2180" s="46"/>
      <c r="E2180" s="46"/>
      <c r="F2180" s="46"/>
      <c r="G2180" s="46"/>
      <c r="H2180" s="46"/>
      <c r="I2180" s="46"/>
      <c r="J2180" s="46"/>
      <c r="K2180" s="46"/>
    </row>
    <row r="2181" spans="1:11">
      <c r="A2181" s="45"/>
      <c r="B2181" s="45"/>
      <c r="C2181" s="45"/>
      <c r="D2181" s="46"/>
      <c r="E2181" s="46"/>
      <c r="F2181" s="46"/>
      <c r="G2181" s="46"/>
      <c r="H2181" s="46"/>
      <c r="I2181" s="46"/>
      <c r="J2181" s="46"/>
      <c r="K2181" s="46"/>
    </row>
    <row r="2182" spans="1:11">
      <c r="A2182" s="45"/>
      <c r="B2182" s="45"/>
      <c r="C2182" s="45"/>
      <c r="D2182" s="46"/>
      <c r="E2182" s="46"/>
      <c r="F2182" s="46"/>
      <c r="G2182" s="46"/>
      <c r="H2182" s="46"/>
      <c r="I2182" s="46"/>
      <c r="J2182" s="46"/>
      <c r="K2182" s="46"/>
    </row>
    <row r="2183" spans="1:11">
      <c r="A2183" s="45"/>
      <c r="B2183" s="45"/>
      <c r="C2183" s="45"/>
      <c r="D2183" s="46"/>
      <c r="E2183" s="46"/>
      <c r="F2183" s="46"/>
      <c r="G2183" s="46"/>
      <c r="H2183" s="46"/>
      <c r="I2183" s="46"/>
      <c r="J2183" s="46"/>
      <c r="K2183" s="46"/>
    </row>
    <row r="2184" spans="1:11">
      <c r="A2184" s="45"/>
      <c r="B2184" s="45"/>
      <c r="C2184" s="45"/>
      <c r="D2184" s="46"/>
      <c r="E2184" s="46"/>
      <c r="F2184" s="46"/>
      <c r="G2184" s="46"/>
      <c r="H2184" s="46"/>
      <c r="I2184" s="46"/>
      <c r="J2184" s="46"/>
      <c r="K2184" s="46"/>
    </row>
    <row r="2185" spans="1:11">
      <c r="A2185" s="45"/>
      <c r="B2185" s="45"/>
      <c r="C2185" s="45"/>
      <c r="D2185" s="46"/>
      <c r="E2185" s="46"/>
      <c r="F2185" s="46"/>
      <c r="G2185" s="46"/>
      <c r="H2185" s="46"/>
      <c r="I2185" s="46"/>
      <c r="J2185" s="46"/>
      <c r="K2185" s="46"/>
    </row>
    <row r="2186" spans="1:11">
      <c r="A2186" s="45"/>
      <c r="B2186" s="45"/>
      <c r="C2186" s="45"/>
      <c r="D2186" s="46"/>
      <c r="E2186" s="46"/>
      <c r="F2186" s="46"/>
      <c r="G2186" s="46"/>
      <c r="H2186" s="46"/>
      <c r="I2186" s="46"/>
      <c r="J2186" s="46"/>
      <c r="K2186" s="46"/>
    </row>
    <row r="2187" spans="1:11">
      <c r="A2187" s="45"/>
      <c r="B2187" s="45"/>
      <c r="C2187" s="45"/>
      <c r="D2187" s="46"/>
      <c r="E2187" s="46"/>
      <c r="F2187" s="46"/>
      <c r="G2187" s="46"/>
      <c r="H2187" s="46"/>
      <c r="I2187" s="46"/>
      <c r="J2187" s="46"/>
      <c r="K2187" s="46"/>
    </row>
    <row r="2188" spans="1:11">
      <c r="A2188" s="45"/>
      <c r="B2188" s="45"/>
      <c r="C2188" s="45"/>
      <c r="D2188" s="46"/>
      <c r="E2188" s="46"/>
      <c r="F2188" s="46"/>
      <c r="G2188" s="46"/>
      <c r="H2188" s="46"/>
      <c r="I2188" s="46"/>
      <c r="J2188" s="46"/>
      <c r="K2188" s="46"/>
    </row>
    <row r="2189" spans="1:11">
      <c r="A2189" s="45"/>
      <c r="B2189" s="45"/>
      <c r="C2189" s="45"/>
      <c r="D2189" s="46"/>
      <c r="E2189" s="46"/>
      <c r="F2189" s="46"/>
      <c r="G2189" s="46"/>
      <c r="H2189" s="46"/>
      <c r="I2189" s="46"/>
      <c r="J2189" s="46"/>
      <c r="K2189" s="46"/>
    </row>
    <row r="2190" spans="1:11">
      <c r="A2190" s="45"/>
      <c r="B2190" s="45"/>
      <c r="C2190" s="45"/>
      <c r="D2190" s="46"/>
      <c r="E2190" s="46"/>
      <c r="F2190" s="46"/>
      <c r="G2190" s="46"/>
      <c r="H2190" s="46"/>
      <c r="I2190" s="46"/>
      <c r="J2190" s="46"/>
      <c r="K2190" s="46"/>
    </row>
    <row r="2191" spans="1:11">
      <c r="A2191" s="45"/>
      <c r="B2191" s="45"/>
      <c r="C2191" s="45"/>
      <c r="D2191" s="46"/>
      <c r="E2191" s="46"/>
      <c r="F2191" s="46"/>
      <c r="G2191" s="46"/>
      <c r="H2191" s="46"/>
      <c r="I2191" s="46"/>
      <c r="J2191" s="46"/>
      <c r="K2191" s="46"/>
    </row>
    <row r="2192" spans="1:11">
      <c r="A2192" s="45"/>
      <c r="B2192" s="45"/>
      <c r="C2192" s="45"/>
      <c r="D2192" s="46"/>
      <c r="E2192" s="46"/>
      <c r="F2192" s="46"/>
      <c r="G2192" s="46"/>
      <c r="H2192" s="46"/>
      <c r="I2192" s="46"/>
      <c r="J2192" s="46"/>
      <c r="K2192" s="46"/>
    </row>
    <row r="2193" spans="1:11">
      <c r="A2193" s="45"/>
      <c r="B2193" s="45"/>
      <c r="C2193" s="45"/>
      <c r="D2193" s="46"/>
      <c r="E2193" s="46"/>
      <c r="F2193" s="46"/>
      <c r="G2193" s="46"/>
      <c r="H2193" s="46"/>
      <c r="I2193" s="46"/>
      <c r="J2193" s="46"/>
      <c r="K2193" s="46"/>
    </row>
    <row r="2194" spans="1:11">
      <c r="A2194" s="45"/>
      <c r="B2194" s="45"/>
      <c r="C2194" s="45"/>
      <c r="D2194" s="46"/>
      <c r="E2194" s="46"/>
      <c r="F2194" s="46"/>
      <c r="G2194" s="46"/>
      <c r="H2194" s="46"/>
      <c r="I2194" s="46"/>
      <c r="J2194" s="46"/>
      <c r="K2194" s="46"/>
    </row>
    <row r="2195" spans="1:11">
      <c r="A2195" s="45"/>
      <c r="B2195" s="45"/>
      <c r="C2195" s="45"/>
      <c r="D2195" s="46"/>
      <c r="E2195" s="46"/>
      <c r="F2195" s="46"/>
      <c r="G2195" s="46"/>
      <c r="H2195" s="46"/>
      <c r="I2195" s="46"/>
      <c r="J2195" s="46"/>
      <c r="K2195" s="46"/>
    </row>
    <row r="2196" spans="1:11">
      <c r="A2196" s="45"/>
      <c r="B2196" s="45"/>
      <c r="C2196" s="45"/>
      <c r="D2196" s="46"/>
      <c r="E2196" s="46"/>
      <c r="F2196" s="46"/>
      <c r="G2196" s="46"/>
      <c r="H2196" s="46"/>
      <c r="I2196" s="46"/>
      <c r="J2196" s="46"/>
      <c r="K2196" s="46"/>
    </row>
    <row r="2197" spans="1:11">
      <c r="A2197" s="45"/>
      <c r="B2197" s="45"/>
      <c r="C2197" s="45"/>
      <c r="D2197" s="46"/>
      <c r="E2197" s="46"/>
      <c r="F2197" s="46"/>
      <c r="G2197" s="46"/>
      <c r="H2197" s="46"/>
      <c r="I2197" s="46"/>
      <c r="J2197" s="46"/>
      <c r="K2197" s="46"/>
    </row>
    <row r="2198" spans="1:11">
      <c r="A2198" s="45"/>
      <c r="B2198" s="45"/>
      <c r="C2198" s="45"/>
      <c r="D2198" s="46"/>
      <c r="E2198" s="46"/>
      <c r="F2198" s="46"/>
      <c r="G2198" s="46"/>
      <c r="H2198" s="46"/>
      <c r="I2198" s="46"/>
      <c r="J2198" s="46"/>
      <c r="K2198" s="46"/>
    </row>
    <row r="2199" spans="1:11">
      <c r="A2199" s="45"/>
      <c r="B2199" s="45"/>
      <c r="C2199" s="45"/>
      <c r="D2199" s="46"/>
      <c r="E2199" s="46"/>
      <c r="F2199" s="46"/>
      <c r="G2199" s="46"/>
      <c r="H2199" s="46"/>
      <c r="I2199" s="46"/>
      <c r="J2199" s="46"/>
      <c r="K2199" s="46"/>
    </row>
    <row r="2200" spans="1:11">
      <c r="A2200" s="45"/>
      <c r="B2200" s="45"/>
      <c r="C2200" s="45"/>
      <c r="D2200" s="46"/>
      <c r="E2200" s="46"/>
      <c r="F2200" s="46"/>
      <c r="G2200" s="46"/>
      <c r="H2200" s="46"/>
      <c r="I2200" s="46"/>
      <c r="J2200" s="46"/>
      <c r="K2200" s="46"/>
    </row>
    <row r="2201" spans="1:11">
      <c r="A2201" s="45"/>
      <c r="B2201" s="45"/>
      <c r="C2201" s="45"/>
      <c r="D2201" s="46"/>
      <c r="E2201" s="46"/>
      <c r="F2201" s="46"/>
      <c r="G2201" s="46"/>
      <c r="H2201" s="46"/>
      <c r="I2201" s="46"/>
      <c r="J2201" s="46"/>
      <c r="K2201" s="46"/>
    </row>
    <row r="2202" spans="1:11">
      <c r="A2202" s="45"/>
      <c r="B2202" s="45"/>
      <c r="C2202" s="45"/>
      <c r="D2202" s="46"/>
      <c r="E2202" s="46"/>
      <c r="F2202" s="46"/>
      <c r="G2202" s="46"/>
      <c r="H2202" s="46"/>
      <c r="I2202" s="46"/>
      <c r="J2202" s="46"/>
      <c r="K2202" s="46"/>
    </row>
    <row r="2203" spans="1:11">
      <c r="A2203" s="45"/>
      <c r="B2203" s="45"/>
      <c r="C2203" s="45"/>
      <c r="D2203" s="46"/>
      <c r="E2203" s="46"/>
      <c r="F2203" s="46"/>
      <c r="G2203" s="46"/>
      <c r="H2203" s="46"/>
      <c r="I2203" s="46"/>
      <c r="J2203" s="46"/>
      <c r="K2203" s="46"/>
    </row>
    <row r="2204" spans="1:11">
      <c r="A2204" s="45"/>
      <c r="B2204" s="45"/>
      <c r="C2204" s="45"/>
      <c r="D2204" s="46"/>
      <c r="E2204" s="46"/>
      <c r="F2204" s="46"/>
      <c r="G2204" s="46"/>
      <c r="H2204" s="46"/>
      <c r="I2204" s="46"/>
      <c r="J2204" s="46"/>
      <c r="K2204" s="46"/>
    </row>
    <row r="2205" spans="1:11">
      <c r="A2205" s="45"/>
      <c r="B2205" s="45"/>
      <c r="C2205" s="45"/>
      <c r="D2205" s="46"/>
      <c r="E2205" s="46"/>
      <c r="F2205" s="46"/>
      <c r="G2205" s="46"/>
      <c r="H2205" s="46"/>
      <c r="I2205" s="46"/>
      <c r="J2205" s="46"/>
      <c r="K2205" s="46"/>
    </row>
    <row r="2206" spans="1:11">
      <c r="A2206" s="45"/>
      <c r="B2206" s="45"/>
      <c r="C2206" s="45"/>
      <c r="D2206" s="46"/>
      <c r="E2206" s="46"/>
      <c r="F2206" s="46"/>
      <c r="G2206" s="46"/>
      <c r="H2206" s="46"/>
      <c r="I2206" s="46"/>
      <c r="J2206" s="46"/>
      <c r="K2206" s="46"/>
    </row>
    <row r="2207" spans="1:11">
      <c r="A2207" s="45"/>
      <c r="B2207" s="45"/>
      <c r="C2207" s="45"/>
      <c r="D2207" s="46"/>
      <c r="E2207" s="46"/>
      <c r="F2207" s="46"/>
      <c r="G2207" s="46"/>
      <c r="H2207" s="46"/>
      <c r="I2207" s="46"/>
      <c r="J2207" s="46"/>
      <c r="K2207" s="46"/>
    </row>
    <row r="2208" spans="1:11">
      <c r="A2208" s="45"/>
      <c r="B2208" s="45"/>
      <c r="C2208" s="45"/>
      <c r="D2208" s="46"/>
      <c r="E2208" s="46"/>
      <c r="F2208" s="46"/>
      <c r="G2208" s="46"/>
      <c r="H2208" s="46"/>
      <c r="I2208" s="46"/>
      <c r="J2208" s="46"/>
      <c r="K2208" s="46"/>
    </row>
    <row r="2209" spans="1:11">
      <c r="A2209" s="45"/>
      <c r="B2209" s="45"/>
      <c r="C2209" s="45"/>
      <c r="D2209" s="46"/>
      <c r="E2209" s="46"/>
      <c r="F2209" s="46"/>
      <c r="G2209" s="46"/>
      <c r="H2209" s="46"/>
      <c r="I2209" s="46"/>
      <c r="J2209" s="46"/>
      <c r="K2209" s="46"/>
    </row>
    <row r="2210" spans="1:11">
      <c r="A2210" s="45"/>
      <c r="B2210" s="45"/>
      <c r="C2210" s="45"/>
      <c r="D2210" s="46"/>
      <c r="E2210" s="46"/>
      <c r="F2210" s="46"/>
      <c r="G2210" s="46"/>
      <c r="H2210" s="46"/>
      <c r="I2210" s="46"/>
      <c r="J2210" s="46"/>
      <c r="K2210" s="46"/>
    </row>
    <row r="2211" spans="1:11">
      <c r="A2211" s="45"/>
      <c r="B2211" s="45"/>
      <c r="C2211" s="45"/>
      <c r="D2211" s="46"/>
      <c r="E2211" s="46"/>
      <c r="F2211" s="46"/>
      <c r="G2211" s="46"/>
      <c r="H2211" s="46"/>
      <c r="I2211" s="46"/>
      <c r="J2211" s="46"/>
      <c r="K2211" s="46"/>
    </row>
    <row r="2212" spans="1:11">
      <c r="A2212" s="45"/>
      <c r="B2212" s="45"/>
      <c r="C2212" s="45"/>
      <c r="D2212" s="46"/>
      <c r="E2212" s="46"/>
      <c r="F2212" s="46"/>
      <c r="G2212" s="46"/>
      <c r="H2212" s="46"/>
      <c r="I2212" s="46"/>
      <c r="J2212" s="46"/>
      <c r="K2212" s="46"/>
    </row>
    <row r="2213" spans="1:11">
      <c r="A2213" s="45"/>
      <c r="B2213" s="45"/>
      <c r="C2213" s="45"/>
      <c r="D2213" s="46"/>
      <c r="E2213" s="46"/>
      <c r="F2213" s="46"/>
      <c r="G2213" s="46"/>
      <c r="H2213" s="46"/>
      <c r="I2213" s="46"/>
      <c r="J2213" s="46"/>
      <c r="K2213" s="46"/>
    </row>
    <row r="2214" spans="1:11">
      <c r="A2214" s="45"/>
      <c r="B2214" s="45"/>
      <c r="C2214" s="45"/>
      <c r="D2214" s="46"/>
      <c r="E2214" s="46"/>
      <c r="F2214" s="46"/>
      <c r="G2214" s="46"/>
      <c r="H2214" s="46"/>
      <c r="I2214" s="46"/>
      <c r="J2214" s="46"/>
      <c r="K2214" s="46"/>
    </row>
    <row r="2215" spans="1:11">
      <c r="A2215" s="45"/>
      <c r="B2215" s="45"/>
      <c r="C2215" s="45"/>
      <c r="D2215" s="46"/>
      <c r="E2215" s="46"/>
      <c r="F2215" s="46"/>
      <c r="G2215" s="46"/>
      <c r="H2215" s="46"/>
      <c r="I2215" s="46"/>
      <c r="J2215" s="46"/>
      <c r="K2215" s="46"/>
    </row>
    <row r="2216" spans="1:11">
      <c r="A2216" s="45"/>
      <c r="B2216" s="45"/>
      <c r="C2216" s="45"/>
      <c r="D2216" s="46"/>
      <c r="E2216" s="46"/>
      <c r="F2216" s="46"/>
      <c r="G2216" s="46"/>
      <c r="H2216" s="46"/>
      <c r="I2216" s="46"/>
      <c r="J2216" s="46"/>
      <c r="K2216" s="46"/>
    </row>
    <row r="2217" spans="1:11">
      <c r="A2217" s="45"/>
      <c r="B2217" s="45"/>
      <c r="C2217" s="45"/>
      <c r="D2217" s="46"/>
      <c r="E2217" s="46"/>
      <c r="F2217" s="46"/>
      <c r="G2217" s="46"/>
      <c r="H2217" s="46"/>
      <c r="I2217" s="46"/>
      <c r="J2217" s="46"/>
      <c r="K2217" s="46"/>
    </row>
    <row r="2218" spans="1:11">
      <c r="A2218" s="45"/>
      <c r="B2218" s="45"/>
      <c r="C2218" s="45"/>
      <c r="D2218" s="46"/>
      <c r="E2218" s="46"/>
      <c r="F2218" s="46"/>
      <c r="G2218" s="46"/>
      <c r="H2218" s="46"/>
      <c r="I2218" s="46"/>
      <c r="J2218" s="46"/>
      <c r="K2218" s="46"/>
    </row>
    <row r="2219" spans="1:11">
      <c r="A2219" s="45"/>
      <c r="B2219" s="45"/>
      <c r="C2219" s="45"/>
      <c r="D2219" s="46"/>
      <c r="E2219" s="46"/>
      <c r="F2219" s="46"/>
      <c r="G2219" s="46"/>
      <c r="H2219" s="46"/>
      <c r="I2219" s="46"/>
      <c r="J2219" s="46"/>
      <c r="K2219" s="46"/>
    </row>
    <row r="2220" spans="1:11">
      <c r="A2220" s="45"/>
      <c r="B2220" s="45"/>
      <c r="C2220" s="45"/>
      <c r="D2220" s="46"/>
      <c r="E2220" s="46"/>
      <c r="F2220" s="46"/>
      <c r="G2220" s="46"/>
      <c r="H2220" s="46"/>
      <c r="I2220" s="46"/>
      <c r="J2220" s="46"/>
      <c r="K2220" s="46"/>
    </row>
    <row r="2221" spans="1:11">
      <c r="A2221" s="45"/>
      <c r="B2221" s="45"/>
      <c r="C2221" s="45"/>
      <c r="D2221" s="46"/>
      <c r="E2221" s="46"/>
      <c r="F2221" s="46"/>
      <c r="G2221" s="46"/>
      <c r="H2221" s="46"/>
      <c r="I2221" s="46"/>
      <c r="J2221" s="46"/>
      <c r="K2221" s="46"/>
    </row>
    <row r="2222" spans="1:11">
      <c r="A2222" s="45"/>
      <c r="B2222" s="45"/>
      <c r="C2222" s="45"/>
      <c r="D2222" s="46"/>
      <c r="E2222" s="46"/>
      <c r="F2222" s="46"/>
      <c r="G2222" s="46"/>
      <c r="H2222" s="46"/>
      <c r="I2222" s="46"/>
      <c r="J2222" s="46"/>
      <c r="K2222" s="46"/>
    </row>
    <row r="2223" spans="1:11">
      <c r="A2223" s="45"/>
      <c r="B2223" s="45"/>
      <c r="C2223" s="45"/>
      <c r="D2223" s="46"/>
      <c r="E2223" s="46"/>
      <c r="F2223" s="46"/>
      <c r="G2223" s="46"/>
      <c r="H2223" s="46"/>
      <c r="I2223" s="46"/>
      <c r="J2223" s="46"/>
      <c r="K2223" s="46"/>
    </row>
    <row r="2224" spans="1:11">
      <c r="A2224" s="45"/>
      <c r="B2224" s="45"/>
      <c r="C2224" s="45"/>
      <c r="D2224" s="46"/>
      <c r="E2224" s="46"/>
      <c r="F2224" s="46"/>
      <c r="G2224" s="46"/>
      <c r="H2224" s="46"/>
      <c r="I2224" s="46"/>
      <c r="J2224" s="46"/>
      <c r="K2224" s="46"/>
    </row>
    <row r="2225" spans="1:11">
      <c r="A2225" s="45"/>
      <c r="B2225" s="45"/>
      <c r="C2225" s="45"/>
      <c r="D2225" s="46"/>
      <c r="E2225" s="46"/>
      <c r="F2225" s="46"/>
      <c r="G2225" s="46"/>
      <c r="H2225" s="46"/>
      <c r="I2225" s="46"/>
      <c r="J2225" s="46"/>
      <c r="K2225" s="46"/>
    </row>
    <row r="2226" spans="1:11">
      <c r="A2226" s="45"/>
      <c r="B2226" s="45"/>
      <c r="C2226" s="45"/>
      <c r="D2226" s="46"/>
      <c r="E2226" s="46"/>
      <c r="F2226" s="46"/>
      <c r="G2226" s="46"/>
      <c r="H2226" s="46"/>
      <c r="I2226" s="46"/>
      <c r="J2226" s="46"/>
      <c r="K2226" s="46"/>
    </row>
    <row r="2227" spans="1:11">
      <c r="A2227" s="45"/>
      <c r="B2227" s="45"/>
      <c r="C2227" s="45"/>
      <c r="D2227" s="46"/>
      <c r="E2227" s="46"/>
      <c r="F2227" s="46"/>
      <c r="G2227" s="46"/>
      <c r="H2227" s="46"/>
      <c r="I2227" s="46"/>
      <c r="J2227" s="46"/>
      <c r="K2227" s="46"/>
    </row>
    <row r="2228" spans="1:11">
      <c r="A2228" s="45"/>
      <c r="B2228" s="45"/>
      <c r="C2228" s="45"/>
      <c r="D2228" s="46"/>
      <c r="E2228" s="46"/>
      <c r="F2228" s="46"/>
      <c r="G2228" s="46"/>
      <c r="H2228" s="46"/>
      <c r="I2228" s="46"/>
      <c r="J2228" s="46"/>
      <c r="K2228" s="46"/>
    </row>
    <row r="2229" spans="1:11">
      <c r="A2229" s="45"/>
      <c r="B2229" s="45"/>
      <c r="C2229" s="45"/>
      <c r="D2229" s="46"/>
      <c r="E2229" s="46"/>
      <c r="F2229" s="46"/>
      <c r="G2229" s="46"/>
      <c r="H2229" s="46"/>
      <c r="I2229" s="46"/>
      <c r="J2229" s="46"/>
      <c r="K2229" s="46"/>
    </row>
    <row r="2230" spans="1:11">
      <c r="A2230" s="45"/>
      <c r="B2230" s="45"/>
      <c r="C2230" s="45"/>
      <c r="D2230" s="46"/>
      <c r="E2230" s="46"/>
      <c r="F2230" s="46"/>
      <c r="G2230" s="46"/>
      <c r="H2230" s="46"/>
      <c r="I2230" s="46"/>
      <c r="J2230" s="46"/>
      <c r="K2230" s="46"/>
    </row>
    <row r="2231" spans="1:11">
      <c r="A2231" s="45"/>
      <c r="B2231" s="45"/>
      <c r="C2231" s="45"/>
      <c r="D2231" s="46"/>
      <c r="E2231" s="46"/>
      <c r="F2231" s="46"/>
      <c r="G2231" s="46"/>
      <c r="H2231" s="46"/>
      <c r="I2231" s="46"/>
      <c r="J2231" s="46"/>
      <c r="K2231" s="46"/>
    </row>
    <row r="2232" spans="1:11">
      <c r="A2232" s="45"/>
      <c r="B2232" s="45"/>
      <c r="C2232" s="45"/>
      <c r="D2232" s="46"/>
      <c r="E2232" s="46"/>
      <c r="F2232" s="46"/>
      <c r="G2232" s="46"/>
      <c r="H2232" s="46"/>
      <c r="I2232" s="46"/>
      <c r="J2232" s="46"/>
      <c r="K2232" s="46"/>
    </row>
    <row r="2233" spans="1:11">
      <c r="A2233" s="45"/>
      <c r="B2233" s="45"/>
      <c r="C2233" s="45"/>
      <c r="D2233" s="46"/>
      <c r="E2233" s="46"/>
      <c r="F2233" s="46"/>
      <c r="G2233" s="46"/>
      <c r="H2233" s="46"/>
      <c r="I2233" s="46"/>
      <c r="J2233" s="46"/>
      <c r="K2233" s="46"/>
    </row>
    <row r="2234" spans="1:11">
      <c r="A2234" s="45"/>
      <c r="B2234" s="45"/>
      <c r="C2234" s="45"/>
      <c r="D2234" s="46"/>
      <c r="E2234" s="46"/>
      <c r="F2234" s="46"/>
      <c r="G2234" s="46"/>
      <c r="H2234" s="46"/>
      <c r="I2234" s="46"/>
      <c r="J2234" s="46"/>
      <c r="K2234" s="46"/>
    </row>
    <row r="2235" spans="1:11">
      <c r="A2235" s="45"/>
      <c r="B2235" s="45"/>
      <c r="C2235" s="45"/>
      <c r="D2235" s="46"/>
      <c r="E2235" s="46"/>
      <c r="F2235" s="46"/>
      <c r="G2235" s="46"/>
      <c r="H2235" s="46"/>
      <c r="I2235" s="46"/>
      <c r="J2235" s="46"/>
      <c r="K2235" s="46"/>
    </row>
    <row r="2236" spans="1:11">
      <c r="A2236" s="45"/>
      <c r="B2236" s="45"/>
      <c r="C2236" s="45"/>
      <c r="D2236" s="46"/>
      <c r="E2236" s="46"/>
      <c r="F2236" s="46"/>
      <c r="G2236" s="46"/>
      <c r="H2236" s="46"/>
      <c r="I2236" s="46"/>
      <c r="J2236" s="46"/>
      <c r="K2236" s="46"/>
    </row>
    <row r="2237" spans="1:11">
      <c r="A2237" s="45"/>
      <c r="B2237" s="45"/>
      <c r="C2237" s="45"/>
      <c r="D2237" s="46"/>
      <c r="E2237" s="46"/>
      <c r="F2237" s="46"/>
      <c r="G2237" s="46"/>
      <c r="H2237" s="46"/>
      <c r="I2237" s="46"/>
      <c r="J2237" s="46"/>
      <c r="K2237" s="46"/>
    </row>
    <row r="2238" spans="1:11">
      <c r="A2238" s="45"/>
      <c r="B2238" s="45"/>
      <c r="C2238" s="45"/>
      <c r="D2238" s="46"/>
      <c r="E2238" s="46"/>
      <c r="F2238" s="46"/>
      <c r="G2238" s="46"/>
      <c r="H2238" s="46"/>
      <c r="I2238" s="46"/>
      <c r="J2238" s="46"/>
      <c r="K2238" s="46"/>
    </row>
    <row r="2239" spans="1:11">
      <c r="A2239" s="45"/>
      <c r="B2239" s="45"/>
      <c r="C2239" s="45"/>
      <c r="D2239" s="46"/>
      <c r="E2239" s="46"/>
      <c r="F2239" s="46"/>
      <c r="G2239" s="46"/>
      <c r="H2239" s="46"/>
      <c r="I2239" s="46"/>
      <c r="J2239" s="46"/>
      <c r="K2239" s="46"/>
    </row>
    <row r="2240" spans="1:11">
      <c r="A2240" s="45"/>
      <c r="B2240" s="45"/>
      <c r="C2240" s="45"/>
      <c r="D2240" s="46"/>
      <c r="E2240" s="46"/>
      <c r="F2240" s="46"/>
      <c r="G2240" s="46"/>
      <c r="H2240" s="46"/>
      <c r="I2240" s="46"/>
      <c r="J2240" s="46"/>
      <c r="K2240" s="46"/>
    </row>
    <row r="2241" spans="1:11">
      <c r="A2241" s="45"/>
      <c r="B2241" s="45"/>
      <c r="C2241" s="45"/>
      <c r="D2241" s="46"/>
      <c r="E2241" s="46"/>
      <c r="F2241" s="46"/>
      <c r="G2241" s="46"/>
      <c r="H2241" s="46"/>
      <c r="I2241" s="46"/>
      <c r="J2241" s="46"/>
      <c r="K2241" s="46"/>
    </row>
    <row r="2242" spans="1:11">
      <c r="A2242" s="45"/>
      <c r="B2242" s="45"/>
      <c r="C2242" s="45"/>
      <c r="D2242" s="46"/>
      <c r="E2242" s="46"/>
      <c r="F2242" s="46"/>
      <c r="G2242" s="46"/>
      <c r="H2242" s="46"/>
      <c r="I2242" s="46"/>
      <c r="J2242" s="46"/>
      <c r="K2242" s="46"/>
    </row>
    <row r="2243" spans="1:11">
      <c r="A2243" s="45"/>
      <c r="B2243" s="45"/>
      <c r="C2243" s="45"/>
      <c r="D2243" s="46"/>
      <c r="E2243" s="46"/>
      <c r="F2243" s="46"/>
      <c r="G2243" s="46"/>
      <c r="H2243" s="46"/>
      <c r="I2243" s="46"/>
      <c r="J2243" s="46"/>
      <c r="K2243" s="46"/>
    </row>
    <row r="2244" spans="1:11">
      <c r="A2244" s="45"/>
      <c r="B2244" s="45"/>
      <c r="C2244" s="45"/>
      <c r="D2244" s="46"/>
      <c r="E2244" s="46"/>
      <c r="F2244" s="46"/>
      <c r="G2244" s="46"/>
      <c r="H2244" s="46"/>
      <c r="I2244" s="46"/>
      <c r="J2244" s="46"/>
      <c r="K2244" s="46"/>
    </row>
    <row r="2245" spans="1:11">
      <c r="A2245" s="45"/>
      <c r="B2245" s="45"/>
      <c r="C2245" s="45"/>
      <c r="D2245" s="46"/>
      <c r="E2245" s="46"/>
      <c r="F2245" s="46"/>
      <c r="G2245" s="46"/>
      <c r="H2245" s="46"/>
      <c r="I2245" s="46"/>
      <c r="J2245" s="46"/>
      <c r="K2245" s="46"/>
    </row>
    <row r="2246" spans="1:11">
      <c r="A2246" s="45"/>
      <c r="B2246" s="45"/>
      <c r="C2246" s="45"/>
      <c r="D2246" s="46"/>
      <c r="E2246" s="46"/>
      <c r="F2246" s="46"/>
      <c r="G2246" s="46"/>
      <c r="H2246" s="46"/>
      <c r="I2246" s="46"/>
      <c r="J2246" s="46"/>
      <c r="K2246" s="46"/>
    </row>
    <row r="2247" spans="1:11">
      <c r="A2247" s="45"/>
      <c r="B2247" s="45"/>
      <c r="C2247" s="45"/>
      <c r="D2247" s="46"/>
      <c r="E2247" s="46"/>
      <c r="F2247" s="46"/>
      <c r="G2247" s="46"/>
      <c r="H2247" s="46"/>
      <c r="I2247" s="46"/>
      <c r="J2247" s="46"/>
      <c r="K2247" s="46"/>
    </row>
    <row r="2248" spans="1:11">
      <c r="A2248" s="45"/>
      <c r="B2248" s="45"/>
      <c r="C2248" s="45"/>
      <c r="D2248" s="46"/>
      <c r="E2248" s="46"/>
      <c r="F2248" s="46"/>
      <c r="G2248" s="46"/>
      <c r="H2248" s="46"/>
      <c r="I2248" s="46"/>
      <c r="J2248" s="46"/>
      <c r="K2248" s="46"/>
    </row>
    <row r="2249" spans="1:11">
      <c r="A2249" s="45"/>
      <c r="B2249" s="45"/>
      <c r="C2249" s="45"/>
      <c r="D2249" s="46"/>
      <c r="E2249" s="46"/>
      <c r="F2249" s="46"/>
      <c r="G2249" s="46"/>
      <c r="H2249" s="46"/>
      <c r="I2249" s="46"/>
      <c r="J2249" s="46"/>
      <c r="K2249" s="46"/>
    </row>
    <row r="2250" spans="1:11">
      <c r="A2250" s="45"/>
      <c r="B2250" s="45"/>
      <c r="C2250" s="45"/>
      <c r="D2250" s="46"/>
      <c r="E2250" s="46"/>
      <c r="F2250" s="46"/>
      <c r="G2250" s="46"/>
      <c r="H2250" s="46"/>
      <c r="I2250" s="46"/>
      <c r="J2250" s="46"/>
      <c r="K2250" s="46"/>
    </row>
    <row r="2251" spans="1:11">
      <c r="A2251" s="45"/>
      <c r="B2251" s="45"/>
      <c r="C2251" s="45"/>
      <c r="D2251" s="46"/>
      <c r="E2251" s="46"/>
      <c r="F2251" s="46"/>
      <c r="G2251" s="46"/>
      <c r="H2251" s="46"/>
      <c r="I2251" s="46"/>
      <c r="J2251" s="46"/>
      <c r="K2251" s="46"/>
    </row>
    <row r="2252" spans="1:11">
      <c r="A2252" s="45"/>
      <c r="B2252" s="45"/>
      <c r="C2252" s="45"/>
      <c r="D2252" s="46"/>
      <c r="E2252" s="46"/>
      <c r="F2252" s="46"/>
      <c r="G2252" s="46"/>
      <c r="H2252" s="46"/>
      <c r="I2252" s="46"/>
      <c r="J2252" s="46"/>
      <c r="K2252" s="46"/>
    </row>
    <row r="2253" spans="1:11">
      <c r="A2253" s="45"/>
      <c r="B2253" s="45"/>
      <c r="C2253" s="45"/>
      <c r="D2253" s="46"/>
      <c r="E2253" s="46"/>
      <c r="F2253" s="46"/>
      <c r="G2253" s="46"/>
      <c r="H2253" s="46"/>
      <c r="I2253" s="46"/>
      <c r="J2253" s="46"/>
      <c r="K2253" s="46"/>
    </row>
    <row r="2254" spans="1:11">
      <c r="A2254" s="45"/>
      <c r="B2254" s="45"/>
      <c r="C2254" s="45"/>
      <c r="D2254" s="46"/>
      <c r="E2254" s="46"/>
      <c r="F2254" s="46"/>
      <c r="G2254" s="46"/>
      <c r="H2254" s="46"/>
      <c r="I2254" s="46"/>
      <c r="J2254" s="46"/>
      <c r="K2254" s="46"/>
    </row>
    <row r="2255" spans="1:11">
      <c r="A2255" s="45"/>
      <c r="B2255" s="45"/>
      <c r="C2255" s="45"/>
      <c r="D2255" s="46"/>
      <c r="E2255" s="46"/>
      <c r="F2255" s="46"/>
      <c r="G2255" s="46"/>
      <c r="H2255" s="46"/>
      <c r="I2255" s="46"/>
      <c r="J2255" s="46"/>
      <c r="K2255" s="46"/>
    </row>
    <row r="2256" spans="1:11">
      <c r="A2256" s="45"/>
      <c r="B2256" s="45"/>
      <c r="C2256" s="45"/>
      <c r="D2256" s="46"/>
      <c r="E2256" s="46"/>
      <c r="F2256" s="46"/>
      <c r="G2256" s="46"/>
      <c r="H2256" s="46"/>
      <c r="I2256" s="46"/>
      <c r="J2256" s="46"/>
      <c r="K2256" s="46"/>
    </row>
    <row r="2257" spans="1:11">
      <c r="A2257" s="45"/>
      <c r="B2257" s="45"/>
      <c r="C2257" s="45"/>
      <c r="D2257" s="46"/>
      <c r="E2257" s="46"/>
      <c r="F2257" s="46"/>
      <c r="G2257" s="46"/>
      <c r="H2257" s="46"/>
      <c r="I2257" s="46"/>
      <c r="J2257" s="46"/>
      <c r="K2257" s="46"/>
    </row>
    <row r="2258" spans="1:11">
      <c r="A2258" s="45"/>
      <c r="B2258" s="45"/>
      <c r="C2258" s="45"/>
      <c r="D2258" s="46"/>
      <c r="E2258" s="46"/>
      <c r="F2258" s="46"/>
      <c r="G2258" s="46"/>
      <c r="H2258" s="46"/>
      <c r="I2258" s="46"/>
      <c r="J2258" s="46"/>
      <c r="K2258" s="46"/>
    </row>
    <row r="2259" spans="1:11">
      <c r="A2259" s="45"/>
      <c r="B2259" s="45"/>
      <c r="C2259" s="45"/>
      <c r="D2259" s="46"/>
      <c r="E2259" s="46"/>
      <c r="F2259" s="46"/>
      <c r="G2259" s="46"/>
      <c r="H2259" s="46"/>
      <c r="I2259" s="46"/>
      <c r="J2259" s="46"/>
      <c r="K2259" s="46"/>
    </row>
    <row r="2260" spans="1:11">
      <c r="A2260" s="45"/>
      <c r="B2260" s="45"/>
      <c r="C2260" s="45"/>
      <c r="D2260" s="46"/>
      <c r="E2260" s="46"/>
      <c r="F2260" s="46"/>
      <c r="G2260" s="46"/>
      <c r="H2260" s="46"/>
      <c r="I2260" s="46"/>
      <c r="J2260" s="46"/>
      <c r="K2260" s="46"/>
    </row>
    <row r="2261" spans="1:11">
      <c r="A2261" s="45"/>
      <c r="B2261" s="45"/>
      <c r="C2261" s="45"/>
      <c r="D2261" s="46"/>
      <c r="E2261" s="46"/>
      <c r="F2261" s="46"/>
      <c r="G2261" s="46"/>
      <c r="H2261" s="46"/>
      <c r="I2261" s="46"/>
      <c r="J2261" s="46"/>
      <c r="K2261" s="46"/>
    </row>
    <row r="2262" spans="1:11">
      <c r="A2262" s="45"/>
      <c r="B2262" s="45"/>
      <c r="C2262" s="45"/>
      <c r="D2262" s="46"/>
      <c r="E2262" s="46"/>
      <c r="F2262" s="46"/>
      <c r="G2262" s="46"/>
      <c r="H2262" s="46"/>
      <c r="I2262" s="46"/>
      <c r="J2262" s="46"/>
      <c r="K2262" s="46"/>
    </row>
    <row r="2263" spans="1:11">
      <c r="A2263" s="45"/>
      <c r="B2263" s="45"/>
      <c r="C2263" s="45"/>
      <c r="D2263" s="46"/>
      <c r="E2263" s="46"/>
      <c r="F2263" s="46"/>
      <c r="G2263" s="46"/>
      <c r="H2263" s="46"/>
      <c r="I2263" s="46"/>
      <c r="J2263" s="46"/>
      <c r="K2263" s="46"/>
    </row>
    <row r="2264" spans="1:11">
      <c r="A2264" s="45"/>
      <c r="B2264" s="45"/>
      <c r="C2264" s="45"/>
      <c r="D2264" s="46"/>
      <c r="E2264" s="46"/>
      <c r="F2264" s="46"/>
      <c r="G2264" s="46"/>
      <c r="H2264" s="46"/>
      <c r="I2264" s="46"/>
      <c r="J2264" s="46"/>
      <c r="K2264" s="46"/>
    </row>
    <row r="2265" spans="1:11">
      <c r="A2265" s="45"/>
      <c r="B2265" s="45"/>
      <c r="C2265" s="45"/>
      <c r="D2265" s="46"/>
      <c r="E2265" s="46"/>
      <c r="F2265" s="46"/>
      <c r="G2265" s="46"/>
      <c r="H2265" s="46"/>
      <c r="I2265" s="46"/>
      <c r="J2265" s="46"/>
      <c r="K2265" s="46"/>
    </row>
    <row r="2266" spans="1:11">
      <c r="A2266" s="45"/>
      <c r="B2266" s="45"/>
      <c r="C2266" s="45"/>
      <c r="D2266" s="46"/>
      <c r="E2266" s="46"/>
      <c r="F2266" s="46"/>
      <c r="G2266" s="46"/>
      <c r="H2266" s="46"/>
      <c r="I2266" s="46"/>
      <c r="J2266" s="46"/>
      <c r="K2266" s="46"/>
    </row>
    <row r="2267" spans="1:11">
      <c r="A2267" s="45"/>
      <c r="B2267" s="45"/>
      <c r="C2267" s="45"/>
      <c r="D2267" s="46"/>
      <c r="E2267" s="46"/>
      <c r="F2267" s="46"/>
      <c r="G2267" s="46"/>
      <c r="H2267" s="46"/>
      <c r="I2267" s="46"/>
      <c r="J2267" s="46"/>
      <c r="K2267" s="46"/>
    </row>
    <row r="2268" spans="1:11">
      <c r="A2268" s="45"/>
      <c r="B2268" s="45"/>
      <c r="C2268" s="45"/>
      <c r="D2268" s="46"/>
      <c r="E2268" s="46"/>
      <c r="F2268" s="46"/>
      <c r="G2268" s="46"/>
      <c r="H2268" s="46"/>
      <c r="I2268" s="46"/>
      <c r="J2268" s="46"/>
      <c r="K2268" s="46"/>
    </row>
    <row r="2269" spans="1:11">
      <c r="A2269" s="45"/>
      <c r="B2269" s="45"/>
      <c r="C2269" s="45"/>
      <c r="D2269" s="46"/>
      <c r="E2269" s="46"/>
      <c r="F2269" s="46"/>
      <c r="G2269" s="46"/>
      <c r="H2269" s="46"/>
      <c r="I2269" s="46"/>
      <c r="J2269" s="46"/>
      <c r="K2269" s="46"/>
    </row>
    <row r="2270" spans="1:11">
      <c r="A2270" s="45"/>
      <c r="B2270" s="45"/>
      <c r="C2270" s="45"/>
      <c r="D2270" s="46"/>
      <c r="E2270" s="46"/>
      <c r="F2270" s="46"/>
      <c r="G2270" s="46"/>
      <c r="H2270" s="46"/>
      <c r="I2270" s="46"/>
      <c r="J2270" s="46"/>
      <c r="K2270" s="46"/>
    </row>
    <row r="2271" spans="1:11">
      <c r="A2271" s="45"/>
      <c r="B2271" s="45"/>
      <c r="C2271" s="45"/>
      <c r="D2271" s="46"/>
      <c r="E2271" s="46"/>
      <c r="F2271" s="46"/>
      <c r="G2271" s="46"/>
      <c r="H2271" s="46"/>
      <c r="I2271" s="46"/>
      <c r="J2271" s="46"/>
      <c r="K2271" s="46"/>
    </row>
    <row r="2272" spans="1:11">
      <c r="A2272" s="45"/>
      <c r="B2272" s="45"/>
      <c r="C2272" s="45"/>
      <c r="D2272" s="46"/>
      <c r="E2272" s="46"/>
      <c r="F2272" s="46"/>
      <c r="G2272" s="46"/>
      <c r="H2272" s="46"/>
      <c r="I2272" s="46"/>
      <c r="J2272" s="46"/>
      <c r="K2272" s="46"/>
    </row>
    <row r="2273" spans="1:11">
      <c r="A2273" s="45"/>
      <c r="B2273" s="45"/>
      <c r="C2273" s="45"/>
      <c r="D2273" s="46"/>
      <c r="E2273" s="46"/>
      <c r="F2273" s="46"/>
      <c r="G2273" s="46"/>
      <c r="H2273" s="46"/>
      <c r="I2273" s="46"/>
      <c r="J2273" s="46"/>
      <c r="K2273" s="46"/>
    </row>
    <row r="2274" spans="1:11">
      <c r="A2274" s="45"/>
      <c r="B2274" s="45"/>
      <c r="C2274" s="45"/>
      <c r="D2274" s="46"/>
      <c r="E2274" s="46"/>
      <c r="F2274" s="46"/>
      <c r="G2274" s="46"/>
      <c r="H2274" s="46"/>
      <c r="I2274" s="46"/>
      <c r="J2274" s="46"/>
      <c r="K2274" s="46"/>
    </row>
    <row r="2275" spans="1:11">
      <c r="A2275" s="45"/>
      <c r="B2275" s="45"/>
      <c r="C2275" s="45"/>
      <c r="D2275" s="46"/>
      <c r="E2275" s="46"/>
      <c r="F2275" s="46"/>
      <c r="G2275" s="46"/>
      <c r="H2275" s="46"/>
      <c r="I2275" s="46"/>
      <c r="J2275" s="46"/>
      <c r="K2275" s="46"/>
    </row>
    <row r="2276" spans="1:11">
      <c r="A2276" s="45"/>
      <c r="B2276" s="45"/>
      <c r="C2276" s="45"/>
      <c r="D2276" s="46"/>
      <c r="E2276" s="46"/>
      <c r="F2276" s="46"/>
      <c r="G2276" s="46"/>
      <c r="H2276" s="46"/>
      <c r="I2276" s="46"/>
      <c r="J2276" s="46"/>
      <c r="K2276" s="46"/>
    </row>
    <row r="2277" spans="1:11">
      <c r="A2277" s="45"/>
      <c r="B2277" s="45"/>
      <c r="C2277" s="45"/>
      <c r="D2277" s="46"/>
      <c r="E2277" s="46"/>
      <c r="F2277" s="46"/>
      <c r="G2277" s="46"/>
      <c r="H2277" s="46"/>
      <c r="I2277" s="46"/>
      <c r="J2277" s="46"/>
      <c r="K2277" s="46"/>
    </row>
    <row r="2278" spans="1:11">
      <c r="A2278" s="45"/>
      <c r="B2278" s="45"/>
      <c r="C2278" s="45"/>
      <c r="D2278" s="46"/>
      <c r="E2278" s="46"/>
      <c r="F2278" s="46"/>
      <c r="G2278" s="46"/>
      <c r="H2278" s="46"/>
      <c r="I2278" s="46"/>
      <c r="J2278" s="46"/>
      <c r="K2278" s="46"/>
    </row>
    <row r="2279" spans="1:11">
      <c r="A2279" s="45"/>
      <c r="B2279" s="45"/>
      <c r="C2279" s="45"/>
      <c r="D2279" s="46"/>
      <c r="E2279" s="46"/>
      <c r="F2279" s="46"/>
      <c r="G2279" s="46"/>
      <c r="H2279" s="46"/>
      <c r="I2279" s="46"/>
      <c r="J2279" s="46"/>
      <c r="K2279" s="46"/>
    </row>
    <row r="2280" spans="1:11">
      <c r="A2280" s="45"/>
      <c r="B2280" s="45"/>
      <c r="C2280" s="45"/>
      <c r="D2280" s="46"/>
      <c r="E2280" s="46"/>
      <c r="F2280" s="46"/>
      <c r="G2280" s="46"/>
      <c r="H2280" s="46"/>
      <c r="I2280" s="46"/>
      <c r="J2280" s="46"/>
      <c r="K2280" s="46"/>
    </row>
    <row r="2281" spans="1:11">
      <c r="A2281" s="45"/>
      <c r="B2281" s="45"/>
      <c r="C2281" s="45"/>
      <c r="D2281" s="46"/>
      <c r="E2281" s="46"/>
      <c r="F2281" s="46"/>
      <c r="G2281" s="46"/>
      <c r="H2281" s="46"/>
      <c r="I2281" s="46"/>
      <c r="J2281" s="46"/>
      <c r="K2281" s="46"/>
    </row>
    <row r="2282" spans="1:11">
      <c r="A2282" s="45"/>
      <c r="B2282" s="45"/>
      <c r="C2282" s="45"/>
      <c r="D2282" s="46"/>
      <c r="E2282" s="46"/>
      <c r="F2282" s="46"/>
      <c r="G2282" s="46"/>
      <c r="H2282" s="46"/>
      <c r="I2282" s="46"/>
      <c r="J2282" s="46"/>
      <c r="K2282" s="46"/>
    </row>
    <row r="2283" spans="1:11">
      <c r="A2283" s="45"/>
      <c r="B2283" s="45"/>
      <c r="C2283" s="45"/>
      <c r="D2283" s="46"/>
      <c r="E2283" s="46"/>
      <c r="F2283" s="46"/>
      <c r="G2283" s="46"/>
      <c r="H2283" s="46"/>
      <c r="I2283" s="46"/>
      <c r="J2283" s="46"/>
      <c r="K2283" s="46"/>
    </row>
    <row r="2284" spans="1:11">
      <c r="A2284" s="45"/>
      <c r="B2284" s="45"/>
      <c r="C2284" s="45"/>
      <c r="D2284" s="46"/>
      <c r="E2284" s="46"/>
      <c r="F2284" s="46"/>
      <c r="G2284" s="46"/>
      <c r="H2284" s="46"/>
      <c r="I2284" s="46"/>
      <c r="J2284" s="46"/>
      <c r="K2284" s="46"/>
    </row>
    <row r="2285" spans="1:11">
      <c r="A2285" s="45"/>
      <c r="B2285" s="45"/>
      <c r="C2285" s="45"/>
      <c r="D2285" s="46"/>
      <c r="E2285" s="46"/>
      <c r="F2285" s="46"/>
      <c r="G2285" s="46"/>
      <c r="H2285" s="46"/>
      <c r="I2285" s="46"/>
      <c r="J2285" s="46"/>
      <c r="K2285" s="46"/>
    </row>
    <row r="2286" spans="1:11">
      <c r="A2286" s="45"/>
      <c r="B2286" s="45"/>
      <c r="C2286" s="45"/>
      <c r="D2286" s="46"/>
      <c r="E2286" s="46"/>
      <c r="F2286" s="46"/>
      <c r="G2286" s="46"/>
      <c r="H2286" s="46"/>
      <c r="I2286" s="46"/>
      <c r="J2286" s="46"/>
      <c r="K2286" s="46"/>
    </row>
    <row r="2287" spans="1:11">
      <c r="A2287" s="45"/>
      <c r="B2287" s="45"/>
      <c r="C2287" s="45"/>
      <c r="D2287" s="46"/>
      <c r="E2287" s="46"/>
      <c r="F2287" s="46"/>
      <c r="G2287" s="46"/>
      <c r="H2287" s="46"/>
      <c r="I2287" s="46"/>
      <c r="J2287" s="46"/>
      <c r="K2287" s="46"/>
    </row>
    <row r="2288" spans="1:11">
      <c r="A2288" s="45"/>
      <c r="B2288" s="45"/>
      <c r="C2288" s="45"/>
      <c r="D2288" s="46"/>
      <c r="E2288" s="46"/>
      <c r="F2288" s="46"/>
      <c r="G2288" s="46"/>
      <c r="H2288" s="46"/>
      <c r="I2288" s="46"/>
      <c r="J2288" s="46"/>
      <c r="K2288" s="46"/>
    </row>
    <row r="2289" spans="1:11">
      <c r="A2289" s="45"/>
      <c r="B2289" s="45"/>
      <c r="C2289" s="45"/>
      <c r="D2289" s="46"/>
      <c r="E2289" s="46"/>
      <c r="F2289" s="46"/>
      <c r="G2289" s="46"/>
      <c r="H2289" s="46"/>
      <c r="I2289" s="46"/>
      <c r="J2289" s="46"/>
      <c r="K2289" s="46"/>
    </row>
    <row r="2290" spans="1:11">
      <c r="A2290" s="45"/>
      <c r="B2290" s="45"/>
      <c r="C2290" s="45"/>
      <c r="D2290" s="46"/>
      <c r="E2290" s="46"/>
      <c r="F2290" s="46"/>
      <c r="G2290" s="46"/>
      <c r="H2290" s="46"/>
      <c r="I2290" s="46"/>
      <c r="J2290" s="46"/>
      <c r="K2290" s="46"/>
    </row>
    <row r="2291" spans="1:11">
      <c r="A2291" s="45"/>
      <c r="B2291" s="45"/>
      <c r="C2291" s="45"/>
      <c r="D2291" s="46"/>
      <c r="E2291" s="46"/>
      <c r="F2291" s="46"/>
      <c r="G2291" s="46"/>
      <c r="H2291" s="46"/>
      <c r="I2291" s="46"/>
      <c r="J2291" s="46"/>
      <c r="K2291" s="46"/>
    </row>
    <row r="2292" spans="1:11">
      <c r="A2292" s="45"/>
      <c r="B2292" s="45"/>
      <c r="C2292" s="45"/>
      <c r="D2292" s="46"/>
      <c r="E2292" s="46"/>
      <c r="F2292" s="46"/>
      <c r="G2292" s="46"/>
      <c r="H2292" s="46"/>
      <c r="I2292" s="46"/>
      <c r="J2292" s="46"/>
      <c r="K2292" s="46"/>
    </row>
    <row r="2293" spans="1:11">
      <c r="A2293" s="45"/>
      <c r="B2293" s="45"/>
      <c r="C2293" s="45"/>
      <c r="D2293" s="46"/>
      <c r="E2293" s="46"/>
      <c r="F2293" s="46"/>
      <c r="G2293" s="46"/>
      <c r="H2293" s="46"/>
      <c r="I2293" s="46"/>
      <c r="J2293" s="46"/>
      <c r="K2293" s="46"/>
    </row>
    <row r="2294" spans="1:11">
      <c r="A2294" s="45"/>
      <c r="B2294" s="45"/>
      <c r="C2294" s="45"/>
      <c r="D2294" s="46"/>
      <c r="E2294" s="46"/>
      <c r="F2294" s="46"/>
      <c r="G2294" s="46"/>
      <c r="H2294" s="46"/>
      <c r="I2294" s="46"/>
      <c r="J2294" s="46"/>
      <c r="K2294" s="46"/>
    </row>
    <row r="2295" spans="1:11">
      <c r="A2295" s="45"/>
      <c r="B2295" s="45"/>
      <c r="C2295" s="45"/>
      <c r="D2295" s="46"/>
      <c r="E2295" s="46"/>
      <c r="F2295" s="46"/>
      <c r="G2295" s="46"/>
      <c r="H2295" s="46"/>
      <c r="I2295" s="46"/>
      <c r="J2295" s="46"/>
      <c r="K2295" s="46"/>
    </row>
    <row r="2296" spans="1:11">
      <c r="A2296" s="45"/>
      <c r="B2296" s="45"/>
      <c r="C2296" s="45"/>
      <c r="D2296" s="46"/>
      <c r="E2296" s="46"/>
      <c r="F2296" s="46"/>
      <c r="G2296" s="46"/>
      <c r="H2296" s="46"/>
      <c r="I2296" s="46"/>
      <c r="J2296" s="46"/>
      <c r="K2296" s="46"/>
    </row>
    <row r="2297" spans="1:11">
      <c r="A2297" s="45"/>
      <c r="B2297" s="45"/>
      <c r="C2297" s="45"/>
      <c r="D2297" s="46"/>
      <c r="E2297" s="46"/>
      <c r="F2297" s="46"/>
      <c r="G2297" s="46"/>
      <c r="H2297" s="46"/>
      <c r="I2297" s="46"/>
      <c r="J2297" s="46"/>
      <c r="K2297" s="46"/>
    </row>
    <row r="2298" spans="1:11">
      <c r="A2298" s="45"/>
      <c r="B2298" s="45"/>
      <c r="C2298" s="45"/>
      <c r="D2298" s="46"/>
      <c r="E2298" s="46"/>
      <c r="F2298" s="46"/>
      <c r="G2298" s="46"/>
      <c r="H2298" s="46"/>
      <c r="I2298" s="46"/>
      <c r="J2298" s="46"/>
      <c r="K2298" s="46"/>
    </row>
    <row r="2299" spans="1:11">
      <c r="A2299" s="45"/>
      <c r="B2299" s="45"/>
      <c r="C2299" s="45"/>
      <c r="D2299" s="46"/>
      <c r="E2299" s="46"/>
      <c r="F2299" s="46"/>
      <c r="G2299" s="46"/>
      <c r="H2299" s="46"/>
      <c r="I2299" s="46"/>
      <c r="J2299" s="46"/>
      <c r="K2299" s="46"/>
    </row>
    <row r="2300" spans="1:11">
      <c r="A2300" s="45"/>
      <c r="B2300" s="45"/>
      <c r="C2300" s="45"/>
      <c r="D2300" s="46"/>
      <c r="E2300" s="46"/>
      <c r="F2300" s="46"/>
      <c r="G2300" s="46"/>
      <c r="H2300" s="46"/>
      <c r="I2300" s="46"/>
      <c r="J2300" s="46"/>
      <c r="K2300" s="46"/>
    </row>
    <row r="2301" spans="1:11">
      <c r="A2301" s="45"/>
      <c r="B2301" s="45"/>
      <c r="C2301" s="45"/>
      <c r="D2301" s="46"/>
      <c r="E2301" s="46"/>
      <c r="F2301" s="46"/>
      <c r="G2301" s="46"/>
      <c r="H2301" s="46"/>
      <c r="I2301" s="46"/>
      <c r="J2301" s="46"/>
      <c r="K2301" s="46"/>
    </row>
    <row r="2302" spans="1:11">
      <c r="A2302" s="45"/>
      <c r="B2302" s="45"/>
      <c r="C2302" s="45"/>
      <c r="D2302" s="46"/>
      <c r="E2302" s="46"/>
      <c r="F2302" s="46"/>
      <c r="G2302" s="46"/>
      <c r="H2302" s="46"/>
      <c r="I2302" s="46"/>
      <c r="J2302" s="46"/>
      <c r="K2302" s="46"/>
    </row>
    <row r="2303" spans="1:11">
      <c r="A2303" s="45"/>
      <c r="B2303" s="45"/>
      <c r="C2303" s="45"/>
      <c r="D2303" s="46"/>
      <c r="E2303" s="46"/>
      <c r="F2303" s="46"/>
      <c r="G2303" s="46"/>
      <c r="H2303" s="46"/>
      <c r="I2303" s="46"/>
      <c r="J2303" s="46"/>
      <c r="K2303" s="46"/>
    </row>
    <row r="2304" spans="1:11">
      <c r="A2304" s="45"/>
      <c r="B2304" s="45"/>
      <c r="C2304" s="45"/>
      <c r="D2304" s="46"/>
      <c r="E2304" s="46"/>
      <c r="F2304" s="46"/>
      <c r="G2304" s="46"/>
      <c r="H2304" s="46"/>
      <c r="I2304" s="46"/>
      <c r="J2304" s="46"/>
      <c r="K2304" s="46"/>
    </row>
    <row r="2305" spans="1:11">
      <c r="A2305" s="45"/>
      <c r="B2305" s="45"/>
      <c r="C2305" s="45"/>
      <c r="D2305" s="46"/>
      <c r="E2305" s="46"/>
      <c r="F2305" s="46"/>
      <c r="G2305" s="46"/>
      <c r="H2305" s="46"/>
      <c r="I2305" s="46"/>
      <c r="J2305" s="46"/>
      <c r="K2305" s="46"/>
    </row>
    <row r="2306" spans="1:11">
      <c r="A2306" s="45"/>
      <c r="B2306" s="45"/>
      <c r="C2306" s="45"/>
      <c r="D2306" s="46"/>
      <c r="E2306" s="46"/>
      <c r="F2306" s="46"/>
      <c r="G2306" s="46"/>
      <c r="H2306" s="46"/>
      <c r="I2306" s="46"/>
      <c r="J2306" s="46"/>
      <c r="K2306" s="46"/>
    </row>
    <row r="2307" spans="1:11">
      <c r="A2307" s="45"/>
      <c r="B2307" s="45"/>
      <c r="C2307" s="45"/>
      <c r="D2307" s="46"/>
      <c r="E2307" s="46"/>
      <c r="F2307" s="46"/>
      <c r="G2307" s="46"/>
      <c r="H2307" s="46"/>
      <c r="I2307" s="46"/>
      <c r="J2307" s="46"/>
      <c r="K2307" s="46"/>
    </row>
    <row r="2308" spans="1:11">
      <c r="A2308" s="45"/>
      <c r="B2308" s="45"/>
      <c r="C2308" s="45"/>
      <c r="D2308" s="46"/>
      <c r="E2308" s="46"/>
      <c r="F2308" s="46"/>
      <c r="G2308" s="46"/>
      <c r="H2308" s="46"/>
      <c r="I2308" s="46"/>
      <c r="J2308" s="46"/>
      <c r="K2308" s="46"/>
    </row>
    <row r="2309" spans="1:11">
      <c r="A2309" s="45"/>
      <c r="B2309" s="45"/>
      <c r="C2309" s="45"/>
      <c r="D2309" s="46"/>
      <c r="E2309" s="46"/>
      <c r="F2309" s="46"/>
      <c r="G2309" s="46"/>
      <c r="H2309" s="46"/>
      <c r="I2309" s="46"/>
      <c r="J2309" s="46"/>
      <c r="K2309" s="46"/>
    </row>
    <row r="2310" spans="1:11">
      <c r="A2310" s="45"/>
      <c r="B2310" s="45"/>
      <c r="C2310" s="45"/>
      <c r="D2310" s="46"/>
      <c r="E2310" s="46"/>
      <c r="F2310" s="46"/>
      <c r="G2310" s="46"/>
      <c r="H2310" s="46"/>
      <c r="I2310" s="46"/>
      <c r="J2310" s="46"/>
      <c r="K2310" s="46"/>
    </row>
    <row r="2311" spans="1:11">
      <c r="A2311" s="45"/>
      <c r="B2311" s="45"/>
      <c r="C2311" s="45"/>
      <c r="D2311" s="46"/>
      <c r="E2311" s="46"/>
      <c r="F2311" s="46"/>
      <c r="G2311" s="46"/>
      <c r="H2311" s="46"/>
      <c r="I2311" s="46"/>
      <c r="J2311" s="46"/>
      <c r="K2311" s="46"/>
    </row>
    <row r="2312" spans="1:11">
      <c r="A2312" s="45"/>
      <c r="B2312" s="45"/>
      <c r="C2312" s="45"/>
      <c r="D2312" s="46"/>
      <c r="E2312" s="46"/>
      <c r="F2312" s="46"/>
      <c r="G2312" s="46"/>
      <c r="H2312" s="46"/>
      <c r="I2312" s="46"/>
      <c r="J2312" s="46"/>
      <c r="K2312" s="46"/>
    </row>
    <row r="2313" spans="1:11">
      <c r="A2313" s="45"/>
      <c r="B2313" s="45"/>
      <c r="C2313" s="45"/>
      <c r="D2313" s="46"/>
      <c r="E2313" s="46"/>
      <c r="F2313" s="46"/>
      <c r="G2313" s="46"/>
      <c r="H2313" s="46"/>
      <c r="I2313" s="46"/>
      <c r="J2313" s="46"/>
      <c r="K2313" s="46"/>
    </row>
    <row r="2314" spans="1:11">
      <c r="A2314" s="45"/>
      <c r="B2314" s="45"/>
      <c r="C2314" s="45"/>
      <c r="D2314" s="46"/>
      <c r="E2314" s="46"/>
      <c r="F2314" s="46"/>
      <c r="G2314" s="46"/>
      <c r="H2314" s="46"/>
      <c r="I2314" s="46"/>
      <c r="J2314" s="46"/>
      <c r="K2314" s="46"/>
    </row>
    <row r="2315" spans="1:11">
      <c r="A2315" s="45"/>
      <c r="B2315" s="45"/>
      <c r="C2315" s="45"/>
      <c r="D2315" s="46"/>
      <c r="E2315" s="46"/>
      <c r="F2315" s="46"/>
      <c r="G2315" s="46"/>
      <c r="H2315" s="46"/>
      <c r="I2315" s="46"/>
      <c r="J2315" s="46"/>
      <c r="K2315" s="46"/>
    </row>
    <row r="2316" spans="1:11">
      <c r="A2316" s="45"/>
      <c r="B2316" s="45"/>
      <c r="C2316" s="45"/>
      <c r="D2316" s="46"/>
      <c r="E2316" s="46"/>
      <c r="F2316" s="46"/>
      <c r="G2316" s="46"/>
      <c r="H2316" s="46"/>
      <c r="I2316" s="46"/>
      <c r="J2316" s="46"/>
      <c r="K2316" s="46"/>
    </row>
    <row r="2317" spans="1:11">
      <c r="A2317" s="45"/>
      <c r="B2317" s="45"/>
      <c r="C2317" s="45"/>
      <c r="D2317" s="46"/>
      <c r="E2317" s="46"/>
      <c r="F2317" s="46"/>
      <c r="G2317" s="46"/>
      <c r="H2317" s="46"/>
      <c r="I2317" s="46"/>
      <c r="J2317" s="46"/>
      <c r="K2317" s="46"/>
    </row>
    <row r="2318" spans="1:11">
      <c r="A2318" s="45"/>
      <c r="B2318" s="45"/>
      <c r="C2318" s="45"/>
      <c r="D2318" s="46"/>
      <c r="E2318" s="46"/>
      <c r="F2318" s="46"/>
      <c r="G2318" s="46"/>
      <c r="H2318" s="46"/>
      <c r="I2318" s="46"/>
      <c r="J2318" s="46"/>
      <c r="K2318" s="46"/>
    </row>
    <row r="2319" spans="1:11">
      <c r="A2319" s="45"/>
      <c r="B2319" s="45"/>
      <c r="C2319" s="45"/>
      <c r="D2319" s="46"/>
      <c r="E2319" s="46"/>
      <c r="F2319" s="46"/>
      <c r="G2319" s="46"/>
      <c r="H2319" s="46"/>
      <c r="I2319" s="46"/>
      <c r="J2319" s="46"/>
      <c r="K2319" s="46"/>
    </row>
    <row r="2320" spans="1:11">
      <c r="A2320" s="45"/>
      <c r="B2320" s="45"/>
      <c r="C2320" s="45"/>
      <c r="D2320" s="46"/>
      <c r="E2320" s="46"/>
      <c r="F2320" s="46"/>
      <c r="G2320" s="46"/>
      <c r="H2320" s="46"/>
      <c r="I2320" s="46"/>
      <c r="J2320" s="46"/>
      <c r="K2320" s="46"/>
    </row>
    <row r="2321" spans="1:11">
      <c r="A2321" s="45"/>
      <c r="B2321" s="45"/>
      <c r="C2321" s="45"/>
      <c r="D2321" s="46"/>
      <c r="E2321" s="46"/>
      <c r="F2321" s="46"/>
      <c r="G2321" s="46"/>
      <c r="H2321" s="46"/>
      <c r="I2321" s="46"/>
      <c r="J2321" s="46"/>
      <c r="K2321" s="46"/>
    </row>
    <row r="2322" spans="1:11">
      <c r="A2322" s="45"/>
      <c r="B2322" s="45"/>
      <c r="C2322" s="45"/>
      <c r="D2322" s="46"/>
      <c r="E2322" s="46"/>
      <c r="F2322" s="46"/>
      <c r="G2322" s="46"/>
      <c r="H2322" s="46"/>
      <c r="I2322" s="46"/>
      <c r="J2322" s="46"/>
      <c r="K2322" s="46"/>
    </row>
    <row r="2323" spans="1:11">
      <c r="A2323" s="45"/>
      <c r="B2323" s="45"/>
      <c r="C2323" s="45"/>
      <c r="D2323" s="46"/>
      <c r="E2323" s="46"/>
      <c r="F2323" s="46"/>
      <c r="G2323" s="46"/>
      <c r="H2323" s="46"/>
      <c r="I2323" s="46"/>
      <c r="J2323" s="46"/>
      <c r="K2323" s="46"/>
    </row>
    <row r="2324" spans="1:11">
      <c r="A2324" s="45"/>
      <c r="B2324" s="45"/>
      <c r="C2324" s="45"/>
      <c r="D2324" s="46"/>
      <c r="E2324" s="46"/>
      <c r="F2324" s="46"/>
      <c r="G2324" s="46"/>
      <c r="H2324" s="46"/>
      <c r="I2324" s="46"/>
      <c r="J2324" s="46"/>
      <c r="K2324" s="46"/>
    </row>
    <row r="2325" spans="1:11">
      <c r="A2325" s="45"/>
      <c r="B2325" s="45"/>
      <c r="C2325" s="45"/>
      <c r="D2325" s="46"/>
      <c r="E2325" s="46"/>
      <c r="F2325" s="46"/>
      <c r="G2325" s="46"/>
      <c r="H2325" s="46"/>
      <c r="I2325" s="46"/>
      <c r="J2325" s="46"/>
      <c r="K2325" s="46"/>
    </row>
    <row r="2326" spans="1:11">
      <c r="A2326" s="45"/>
      <c r="B2326" s="45"/>
      <c r="C2326" s="45"/>
      <c r="D2326" s="46"/>
      <c r="E2326" s="46"/>
      <c r="F2326" s="46"/>
      <c r="G2326" s="46"/>
      <c r="H2326" s="46"/>
      <c r="I2326" s="46"/>
      <c r="J2326" s="46"/>
      <c r="K2326" s="46"/>
    </row>
    <row r="2327" spans="1:11">
      <c r="A2327" s="45"/>
      <c r="B2327" s="45"/>
      <c r="C2327" s="45"/>
      <c r="D2327" s="46"/>
      <c r="E2327" s="46"/>
      <c r="F2327" s="46"/>
      <c r="G2327" s="46"/>
      <c r="H2327" s="46"/>
      <c r="I2327" s="46"/>
      <c r="J2327" s="46"/>
      <c r="K2327" s="46"/>
    </row>
    <row r="2328" spans="1:11">
      <c r="A2328" s="45"/>
      <c r="B2328" s="45"/>
      <c r="C2328" s="45"/>
      <c r="D2328" s="46"/>
      <c r="E2328" s="46"/>
      <c r="F2328" s="46"/>
      <c r="G2328" s="46"/>
      <c r="H2328" s="46"/>
      <c r="I2328" s="46"/>
      <c r="J2328" s="46"/>
      <c r="K2328" s="46"/>
    </row>
    <row r="2329" spans="1:11">
      <c r="A2329" s="45"/>
      <c r="B2329" s="45"/>
      <c r="C2329" s="45"/>
      <c r="D2329" s="46"/>
      <c r="E2329" s="46"/>
      <c r="F2329" s="46"/>
      <c r="G2329" s="46"/>
      <c r="H2329" s="46"/>
      <c r="I2329" s="46"/>
      <c r="J2329" s="46"/>
      <c r="K2329" s="46"/>
    </row>
    <row r="2330" spans="1:11">
      <c r="A2330" s="45"/>
      <c r="B2330" s="45"/>
      <c r="C2330" s="45"/>
      <c r="D2330" s="46"/>
      <c r="E2330" s="46"/>
      <c r="F2330" s="46"/>
      <c r="G2330" s="46"/>
      <c r="H2330" s="46"/>
      <c r="I2330" s="46"/>
      <c r="J2330" s="46"/>
      <c r="K2330" s="46"/>
    </row>
    <row r="2331" spans="1:11">
      <c r="A2331" s="45"/>
      <c r="B2331" s="45"/>
      <c r="C2331" s="45"/>
      <c r="D2331" s="46"/>
      <c r="E2331" s="46"/>
      <c r="F2331" s="46"/>
      <c r="G2331" s="46"/>
      <c r="H2331" s="46"/>
      <c r="I2331" s="46"/>
      <c r="J2331" s="46"/>
      <c r="K2331" s="46"/>
    </row>
    <row r="2332" spans="1:11">
      <c r="A2332" s="45"/>
      <c r="B2332" s="45"/>
      <c r="C2332" s="45"/>
      <c r="D2332" s="46"/>
      <c r="E2332" s="46"/>
      <c r="F2332" s="46"/>
      <c r="G2332" s="46"/>
      <c r="H2332" s="46"/>
      <c r="I2332" s="46"/>
      <c r="J2332" s="46"/>
      <c r="K2332" s="46"/>
    </row>
    <row r="2333" spans="1:11">
      <c r="A2333" s="45"/>
      <c r="B2333" s="45"/>
      <c r="C2333" s="45"/>
      <c r="D2333" s="46"/>
      <c r="E2333" s="46"/>
      <c r="F2333" s="46"/>
      <c r="G2333" s="46"/>
      <c r="H2333" s="46"/>
      <c r="I2333" s="46"/>
      <c r="J2333" s="46"/>
      <c r="K2333" s="46"/>
    </row>
    <row r="2334" spans="1:11">
      <c r="A2334" s="45"/>
      <c r="B2334" s="45"/>
      <c r="C2334" s="45"/>
      <c r="D2334" s="46"/>
      <c r="E2334" s="46"/>
      <c r="F2334" s="46"/>
      <c r="G2334" s="46"/>
      <c r="H2334" s="46"/>
      <c r="I2334" s="46"/>
      <c r="J2334" s="46"/>
      <c r="K2334" s="46"/>
    </row>
    <row r="2335" spans="1:11">
      <c r="A2335" s="45"/>
      <c r="B2335" s="45"/>
      <c r="C2335" s="45"/>
      <c r="D2335" s="46"/>
      <c r="E2335" s="46"/>
      <c r="F2335" s="46"/>
      <c r="G2335" s="46"/>
      <c r="H2335" s="46"/>
      <c r="I2335" s="46"/>
      <c r="J2335" s="46"/>
      <c r="K2335" s="46"/>
    </row>
    <row r="2336" spans="1:11">
      <c r="A2336" s="45"/>
      <c r="B2336" s="45"/>
      <c r="C2336" s="45"/>
      <c r="D2336" s="46"/>
      <c r="E2336" s="46"/>
      <c r="F2336" s="46"/>
      <c r="G2336" s="46"/>
      <c r="H2336" s="46"/>
      <c r="I2336" s="46"/>
      <c r="J2336" s="46"/>
      <c r="K2336" s="46"/>
    </row>
    <row r="2337" spans="1:11">
      <c r="A2337" s="45"/>
      <c r="B2337" s="45"/>
      <c r="C2337" s="45"/>
      <c r="D2337" s="46"/>
      <c r="E2337" s="46"/>
      <c r="F2337" s="46"/>
      <c r="G2337" s="46"/>
      <c r="H2337" s="46"/>
      <c r="I2337" s="46"/>
      <c r="J2337" s="46"/>
      <c r="K2337" s="46"/>
    </row>
    <row r="2338" spans="1:11">
      <c r="A2338" s="45"/>
      <c r="B2338" s="45"/>
      <c r="C2338" s="45"/>
      <c r="D2338" s="46"/>
      <c r="E2338" s="46"/>
      <c r="F2338" s="46"/>
      <c r="G2338" s="46"/>
      <c r="H2338" s="46"/>
      <c r="I2338" s="46"/>
      <c r="J2338" s="46"/>
      <c r="K2338" s="46"/>
    </row>
    <row r="2339" spans="1:11">
      <c r="A2339" s="45"/>
      <c r="B2339" s="45"/>
      <c r="C2339" s="45"/>
      <c r="D2339" s="46"/>
      <c r="E2339" s="46"/>
      <c r="F2339" s="46"/>
      <c r="G2339" s="46"/>
      <c r="H2339" s="46"/>
      <c r="I2339" s="46"/>
      <c r="J2339" s="46"/>
      <c r="K2339" s="46"/>
    </row>
    <row r="2340" spans="1:11">
      <c r="A2340" s="45"/>
      <c r="B2340" s="45"/>
      <c r="C2340" s="45"/>
      <c r="D2340" s="46"/>
      <c r="E2340" s="46"/>
      <c r="F2340" s="46"/>
      <c r="G2340" s="46"/>
      <c r="H2340" s="46"/>
      <c r="I2340" s="46"/>
      <c r="J2340" s="46"/>
      <c r="K2340" s="46"/>
    </row>
    <row r="2341" spans="1:11">
      <c r="A2341" s="45"/>
      <c r="B2341" s="45"/>
      <c r="C2341" s="45"/>
      <c r="D2341" s="46"/>
      <c r="E2341" s="46"/>
      <c r="F2341" s="46"/>
      <c r="G2341" s="46"/>
      <c r="H2341" s="46"/>
      <c r="I2341" s="46"/>
      <c r="J2341" s="46"/>
      <c r="K2341" s="46"/>
    </row>
    <row r="2342" spans="1:11">
      <c r="A2342" s="45"/>
      <c r="B2342" s="45"/>
      <c r="C2342" s="45"/>
      <c r="D2342" s="46"/>
      <c r="E2342" s="46"/>
      <c r="F2342" s="46"/>
      <c r="G2342" s="46"/>
      <c r="H2342" s="46"/>
      <c r="I2342" s="46"/>
      <c r="J2342" s="46"/>
      <c r="K2342" s="46"/>
    </row>
    <row r="2343" spans="1:11">
      <c r="A2343" s="45"/>
      <c r="B2343" s="45"/>
      <c r="C2343" s="45"/>
      <c r="D2343" s="46"/>
      <c r="E2343" s="46"/>
      <c r="F2343" s="46"/>
      <c r="G2343" s="46"/>
      <c r="H2343" s="46"/>
      <c r="I2343" s="46"/>
      <c r="J2343" s="46"/>
      <c r="K2343" s="46"/>
    </row>
    <row r="2344" spans="1:11">
      <c r="A2344" s="45"/>
      <c r="B2344" s="45"/>
      <c r="C2344" s="45"/>
      <c r="D2344" s="46"/>
      <c r="E2344" s="46"/>
      <c r="F2344" s="46"/>
      <c r="G2344" s="46"/>
      <c r="H2344" s="46"/>
      <c r="I2344" s="46"/>
      <c r="J2344" s="46"/>
      <c r="K2344" s="46"/>
    </row>
    <row r="2345" spans="1:11">
      <c r="A2345" s="45"/>
      <c r="B2345" s="45"/>
      <c r="C2345" s="45"/>
      <c r="D2345" s="46"/>
      <c r="E2345" s="46"/>
      <c r="F2345" s="46"/>
      <c r="G2345" s="46"/>
      <c r="H2345" s="46"/>
      <c r="I2345" s="46"/>
      <c r="J2345" s="46"/>
      <c r="K2345" s="46"/>
    </row>
    <row r="2346" spans="1:11">
      <c r="A2346" s="45"/>
      <c r="B2346" s="45"/>
      <c r="C2346" s="45"/>
      <c r="D2346" s="46"/>
      <c r="E2346" s="46"/>
      <c r="F2346" s="46"/>
      <c r="G2346" s="46"/>
      <c r="H2346" s="46"/>
      <c r="I2346" s="46"/>
      <c r="J2346" s="46"/>
      <c r="K2346" s="46"/>
    </row>
    <row r="2347" spans="1:11">
      <c r="A2347" s="45"/>
      <c r="B2347" s="45"/>
      <c r="C2347" s="45"/>
      <c r="D2347" s="46"/>
      <c r="E2347" s="46"/>
      <c r="F2347" s="46"/>
      <c r="G2347" s="46"/>
      <c r="H2347" s="46"/>
      <c r="I2347" s="46"/>
      <c r="J2347" s="46"/>
      <c r="K2347" s="46"/>
    </row>
    <row r="2348" spans="1:11">
      <c r="A2348" s="45"/>
      <c r="B2348" s="45"/>
      <c r="C2348" s="45"/>
      <c r="D2348" s="46"/>
      <c r="E2348" s="46"/>
      <c r="F2348" s="46"/>
      <c r="G2348" s="46"/>
      <c r="H2348" s="46"/>
      <c r="I2348" s="46"/>
      <c r="J2348" s="46"/>
      <c r="K2348" s="46"/>
    </row>
    <row r="2349" spans="1:11">
      <c r="A2349" s="45"/>
      <c r="B2349" s="45"/>
      <c r="C2349" s="45"/>
      <c r="D2349" s="46"/>
      <c r="E2349" s="46"/>
      <c r="F2349" s="46"/>
      <c r="G2349" s="46"/>
      <c r="H2349" s="46"/>
      <c r="I2349" s="46"/>
      <c r="J2349" s="46"/>
      <c r="K2349" s="46"/>
    </row>
    <row r="2350" spans="1:11">
      <c r="A2350" s="45"/>
      <c r="B2350" s="45"/>
      <c r="C2350" s="45"/>
      <c r="D2350" s="46"/>
      <c r="E2350" s="46"/>
      <c r="F2350" s="46"/>
      <c r="G2350" s="46"/>
      <c r="H2350" s="46"/>
      <c r="I2350" s="46"/>
      <c r="J2350" s="46"/>
      <c r="K2350" s="46"/>
    </row>
    <row r="2351" spans="1:11">
      <c r="A2351" s="45"/>
      <c r="B2351" s="45"/>
      <c r="C2351" s="45"/>
      <c r="D2351" s="46"/>
      <c r="E2351" s="46"/>
      <c r="F2351" s="46"/>
      <c r="G2351" s="46"/>
      <c r="H2351" s="46"/>
      <c r="I2351" s="46"/>
      <c r="J2351" s="46"/>
      <c r="K2351" s="46"/>
    </row>
    <row r="2352" spans="1:11">
      <c r="A2352" s="45"/>
      <c r="B2352" s="45"/>
      <c r="C2352" s="45"/>
      <c r="D2352" s="46"/>
      <c r="E2352" s="46"/>
      <c r="F2352" s="46"/>
      <c r="G2352" s="46"/>
      <c r="H2352" s="46"/>
      <c r="I2352" s="46"/>
      <c r="J2352" s="46"/>
      <c r="K2352" s="46"/>
    </row>
    <row r="2353" spans="1:11">
      <c r="A2353" s="45"/>
      <c r="B2353" s="45"/>
      <c r="C2353" s="45"/>
      <c r="D2353" s="46"/>
      <c r="E2353" s="46"/>
      <c r="F2353" s="46"/>
      <c r="G2353" s="46"/>
      <c r="H2353" s="46"/>
      <c r="I2353" s="46"/>
      <c r="J2353" s="46"/>
      <c r="K2353" s="46"/>
    </row>
    <row r="2354" spans="1:11">
      <c r="A2354" s="45"/>
      <c r="B2354" s="45"/>
      <c r="C2354" s="45"/>
      <c r="D2354" s="46"/>
      <c r="E2354" s="46"/>
      <c r="F2354" s="46"/>
      <c r="G2354" s="46"/>
      <c r="H2354" s="46"/>
      <c r="I2354" s="46"/>
      <c r="J2354" s="46"/>
      <c r="K2354" s="46"/>
    </row>
    <row r="2355" spans="1:11">
      <c r="A2355" s="45"/>
      <c r="B2355" s="45"/>
      <c r="C2355" s="45"/>
      <c r="D2355" s="46"/>
      <c r="E2355" s="46"/>
      <c r="F2355" s="46"/>
      <c r="G2355" s="46"/>
      <c r="H2355" s="46"/>
      <c r="I2355" s="46"/>
      <c r="J2355" s="46"/>
      <c r="K2355" s="46"/>
    </row>
    <row r="2356" spans="1:11">
      <c r="A2356" s="45"/>
      <c r="B2356" s="45"/>
      <c r="C2356" s="45"/>
      <c r="D2356" s="46"/>
      <c r="E2356" s="46"/>
      <c r="F2356" s="46"/>
      <c r="G2356" s="46"/>
      <c r="H2356" s="46"/>
      <c r="I2356" s="46"/>
      <c r="J2356" s="46"/>
      <c r="K2356" s="46"/>
    </row>
    <row r="2357" spans="1:11">
      <c r="A2357" s="45"/>
      <c r="B2357" s="45"/>
      <c r="C2357" s="45"/>
      <c r="D2357" s="46"/>
      <c r="E2357" s="46"/>
      <c r="F2357" s="46"/>
      <c r="G2357" s="46"/>
      <c r="H2357" s="46"/>
      <c r="I2357" s="46"/>
      <c r="J2357" s="46"/>
      <c r="K2357" s="46"/>
    </row>
    <row r="2358" spans="1:11">
      <c r="A2358" s="45"/>
      <c r="B2358" s="45"/>
      <c r="C2358" s="45"/>
      <c r="D2358" s="46"/>
      <c r="E2358" s="46"/>
      <c r="F2358" s="46"/>
      <c r="G2358" s="46"/>
      <c r="H2358" s="46"/>
      <c r="I2358" s="46"/>
      <c r="J2358" s="46"/>
      <c r="K2358" s="46"/>
    </row>
    <row r="2359" spans="1:11">
      <c r="A2359" s="45"/>
      <c r="B2359" s="45"/>
      <c r="C2359" s="45"/>
      <c r="D2359" s="46"/>
      <c r="E2359" s="46"/>
      <c r="F2359" s="46"/>
      <c r="G2359" s="46"/>
      <c r="H2359" s="46"/>
      <c r="I2359" s="46"/>
      <c r="J2359" s="46"/>
      <c r="K2359" s="46"/>
    </row>
    <row r="2360" spans="1:11">
      <c r="A2360" s="45"/>
      <c r="B2360" s="45"/>
      <c r="C2360" s="45"/>
      <c r="D2360" s="46"/>
      <c r="E2360" s="46"/>
      <c r="F2360" s="46"/>
      <c r="G2360" s="46"/>
      <c r="H2360" s="46"/>
      <c r="I2360" s="46"/>
      <c r="J2360" s="46"/>
      <c r="K2360" s="46"/>
    </row>
    <row r="2361" spans="1:11">
      <c r="A2361" s="45"/>
      <c r="B2361" s="45"/>
      <c r="C2361" s="45"/>
      <c r="D2361" s="46"/>
      <c r="E2361" s="46"/>
      <c r="F2361" s="46"/>
      <c r="G2361" s="46"/>
      <c r="H2361" s="46"/>
      <c r="I2361" s="46"/>
      <c r="J2361" s="46"/>
      <c r="K2361" s="46"/>
    </row>
    <row r="2362" spans="1:11">
      <c r="A2362" s="45"/>
      <c r="B2362" s="45"/>
      <c r="C2362" s="45"/>
      <c r="D2362" s="46"/>
      <c r="E2362" s="46"/>
      <c r="F2362" s="46"/>
      <c r="G2362" s="46"/>
      <c r="H2362" s="46"/>
      <c r="I2362" s="46"/>
      <c r="J2362" s="46"/>
      <c r="K2362" s="46"/>
    </row>
    <row r="2363" spans="1:11">
      <c r="A2363" s="45"/>
      <c r="B2363" s="45"/>
      <c r="C2363" s="45"/>
      <c r="D2363" s="46"/>
      <c r="E2363" s="46"/>
      <c r="F2363" s="46"/>
      <c r="G2363" s="46"/>
      <c r="H2363" s="46"/>
      <c r="I2363" s="46"/>
      <c r="J2363" s="46"/>
      <c r="K2363" s="46"/>
    </row>
    <row r="2364" spans="1:11">
      <c r="A2364" s="45"/>
      <c r="B2364" s="45"/>
      <c r="C2364" s="45"/>
      <c r="D2364" s="46"/>
      <c r="E2364" s="46"/>
      <c r="F2364" s="46"/>
      <c r="G2364" s="46"/>
      <c r="H2364" s="46"/>
      <c r="I2364" s="46"/>
      <c r="J2364" s="46"/>
      <c r="K2364" s="46"/>
    </row>
    <row r="2365" spans="1:11">
      <c r="A2365" s="45"/>
      <c r="B2365" s="45"/>
      <c r="C2365" s="45"/>
      <c r="D2365" s="46"/>
      <c r="E2365" s="46"/>
      <c r="F2365" s="46"/>
      <c r="G2365" s="46"/>
      <c r="H2365" s="46"/>
      <c r="I2365" s="46"/>
      <c r="J2365" s="46"/>
      <c r="K2365" s="46"/>
    </row>
    <row r="2366" spans="1:11">
      <c r="A2366" s="45"/>
      <c r="B2366" s="45"/>
      <c r="C2366" s="45"/>
      <c r="D2366" s="46"/>
      <c r="E2366" s="46"/>
      <c r="F2366" s="46"/>
      <c r="G2366" s="46"/>
      <c r="H2366" s="46"/>
      <c r="I2366" s="46"/>
      <c r="J2366" s="46"/>
      <c r="K2366" s="46"/>
    </row>
    <row r="2367" spans="1:11">
      <c r="A2367" s="45"/>
      <c r="B2367" s="45"/>
      <c r="C2367" s="45"/>
      <c r="D2367" s="46"/>
      <c r="E2367" s="46"/>
      <c r="F2367" s="46"/>
      <c r="G2367" s="46"/>
      <c r="H2367" s="46"/>
      <c r="I2367" s="46"/>
      <c r="J2367" s="46"/>
      <c r="K2367" s="46"/>
    </row>
    <row r="2368" spans="1:11">
      <c r="A2368" s="45"/>
      <c r="B2368" s="45"/>
      <c r="C2368" s="45"/>
      <c r="D2368" s="46"/>
      <c r="E2368" s="46"/>
      <c r="F2368" s="46"/>
      <c r="G2368" s="46"/>
      <c r="H2368" s="46"/>
      <c r="I2368" s="46"/>
      <c r="J2368" s="46"/>
      <c r="K2368" s="46"/>
    </row>
    <row r="2369" spans="1:11">
      <c r="A2369" s="45"/>
      <c r="B2369" s="45"/>
      <c r="C2369" s="45"/>
      <c r="D2369" s="46"/>
      <c r="E2369" s="46"/>
      <c r="F2369" s="46"/>
      <c r="G2369" s="46"/>
      <c r="H2369" s="46"/>
      <c r="I2369" s="46"/>
      <c r="J2369" s="46"/>
      <c r="K2369" s="46"/>
    </row>
    <row r="2370" spans="1:11">
      <c r="A2370" s="45"/>
      <c r="B2370" s="45"/>
      <c r="C2370" s="45"/>
      <c r="D2370" s="46"/>
      <c r="E2370" s="46"/>
      <c r="F2370" s="46"/>
      <c r="G2370" s="46"/>
      <c r="H2370" s="46"/>
      <c r="I2370" s="46"/>
      <c r="J2370" s="46"/>
      <c r="K2370" s="46"/>
    </row>
    <row r="2371" spans="1:11">
      <c r="A2371" s="45"/>
      <c r="B2371" s="45"/>
      <c r="C2371" s="45"/>
      <c r="D2371" s="46"/>
      <c r="E2371" s="46"/>
      <c r="F2371" s="46"/>
      <c r="G2371" s="46"/>
      <c r="H2371" s="46"/>
      <c r="I2371" s="46"/>
      <c r="J2371" s="46"/>
      <c r="K2371" s="46"/>
    </row>
    <row r="2372" spans="1:11">
      <c r="A2372" s="45"/>
      <c r="B2372" s="45"/>
      <c r="C2372" s="45"/>
      <c r="D2372" s="46"/>
      <c r="E2372" s="46"/>
      <c r="F2372" s="46"/>
      <c r="G2372" s="46"/>
      <c r="H2372" s="46"/>
      <c r="I2372" s="46"/>
      <c r="J2372" s="46"/>
      <c r="K2372" s="46"/>
    </row>
    <row r="2373" spans="1:11">
      <c r="A2373" s="45"/>
      <c r="B2373" s="45"/>
      <c r="C2373" s="45"/>
      <c r="D2373" s="46"/>
      <c r="E2373" s="46"/>
      <c r="F2373" s="46"/>
      <c r="G2373" s="46"/>
      <c r="H2373" s="46"/>
      <c r="I2373" s="46"/>
      <c r="J2373" s="46"/>
      <c r="K2373" s="46"/>
    </row>
    <row r="2374" spans="1:11">
      <c r="A2374" s="45"/>
      <c r="B2374" s="45"/>
      <c r="C2374" s="45"/>
      <c r="D2374" s="46"/>
      <c r="E2374" s="46"/>
      <c r="F2374" s="46"/>
      <c r="G2374" s="46"/>
      <c r="H2374" s="46"/>
      <c r="I2374" s="46"/>
      <c r="J2374" s="46"/>
      <c r="K2374" s="46"/>
    </row>
    <row r="2375" spans="1:11">
      <c r="A2375" s="45"/>
      <c r="B2375" s="45"/>
      <c r="C2375" s="45"/>
      <c r="D2375" s="46"/>
      <c r="E2375" s="46"/>
      <c r="F2375" s="46"/>
      <c r="G2375" s="46"/>
      <c r="H2375" s="46"/>
      <c r="I2375" s="46"/>
      <c r="J2375" s="46"/>
      <c r="K2375" s="46"/>
    </row>
    <row r="2376" spans="1:11">
      <c r="A2376" s="45"/>
      <c r="B2376" s="45"/>
      <c r="C2376" s="45"/>
      <c r="D2376" s="46"/>
      <c r="E2376" s="46"/>
      <c r="F2376" s="46"/>
      <c r="G2376" s="46"/>
      <c r="H2376" s="46"/>
      <c r="I2376" s="46"/>
      <c r="J2376" s="46"/>
      <c r="K2376" s="46"/>
    </row>
    <row r="2377" spans="1:11">
      <c r="A2377" s="45"/>
      <c r="B2377" s="45"/>
      <c r="C2377" s="45"/>
      <c r="D2377" s="46"/>
      <c r="E2377" s="46"/>
      <c r="F2377" s="46"/>
      <c r="G2377" s="46"/>
      <c r="H2377" s="46"/>
      <c r="I2377" s="46"/>
      <c r="J2377" s="46"/>
      <c r="K2377" s="46"/>
    </row>
    <row r="2378" spans="1:11">
      <c r="A2378" s="45"/>
      <c r="B2378" s="45"/>
      <c r="C2378" s="45"/>
      <c r="D2378" s="46"/>
      <c r="E2378" s="46"/>
      <c r="F2378" s="46"/>
      <c r="G2378" s="46"/>
      <c r="H2378" s="46"/>
      <c r="I2378" s="46"/>
      <c r="J2378" s="46"/>
      <c r="K2378" s="46"/>
    </row>
    <row r="2379" spans="1:11">
      <c r="A2379" s="45"/>
      <c r="B2379" s="45"/>
      <c r="C2379" s="45"/>
      <c r="D2379" s="46"/>
      <c r="E2379" s="46"/>
      <c r="F2379" s="46"/>
      <c r="G2379" s="46"/>
      <c r="H2379" s="46"/>
      <c r="I2379" s="46"/>
      <c r="J2379" s="46"/>
      <c r="K2379" s="46"/>
    </row>
    <row r="2380" spans="1:11">
      <c r="A2380" s="45"/>
      <c r="B2380" s="45"/>
      <c r="C2380" s="45"/>
      <c r="D2380" s="46"/>
      <c r="E2380" s="46"/>
      <c r="F2380" s="46"/>
      <c r="G2380" s="46"/>
      <c r="H2380" s="46"/>
      <c r="I2380" s="46"/>
      <c r="J2380" s="46"/>
      <c r="K2380" s="46"/>
    </row>
    <row r="2381" spans="1:11">
      <c r="A2381" s="45"/>
      <c r="B2381" s="45"/>
      <c r="C2381" s="45"/>
      <c r="D2381" s="46"/>
      <c r="E2381" s="46"/>
      <c r="F2381" s="46"/>
      <c r="G2381" s="46"/>
      <c r="H2381" s="46"/>
      <c r="I2381" s="46"/>
      <c r="J2381" s="46"/>
      <c r="K2381" s="46"/>
    </row>
    <row r="2382" spans="1:11">
      <c r="A2382" s="45"/>
      <c r="B2382" s="45"/>
      <c r="C2382" s="45"/>
      <c r="D2382" s="46"/>
      <c r="E2382" s="46"/>
      <c r="F2382" s="46"/>
      <c r="G2382" s="46"/>
      <c r="H2382" s="46"/>
      <c r="I2382" s="46"/>
      <c r="J2382" s="46"/>
      <c r="K2382" s="46"/>
    </row>
    <row r="2383" spans="1:11">
      <c r="A2383" s="45"/>
      <c r="B2383" s="45"/>
      <c r="C2383" s="45"/>
      <c r="D2383" s="46"/>
      <c r="E2383" s="46"/>
      <c r="F2383" s="46"/>
      <c r="G2383" s="46"/>
      <c r="H2383" s="46"/>
      <c r="I2383" s="46"/>
      <c r="J2383" s="46"/>
      <c r="K2383" s="46"/>
    </row>
    <row r="2384" spans="1:11">
      <c r="A2384" s="45"/>
      <c r="B2384" s="45"/>
      <c r="C2384" s="45"/>
      <c r="D2384" s="46"/>
      <c r="E2384" s="46"/>
      <c r="F2384" s="46"/>
      <c r="G2384" s="46"/>
      <c r="H2384" s="46"/>
      <c r="I2384" s="46"/>
      <c r="J2384" s="46"/>
      <c r="K2384" s="46"/>
    </row>
    <row r="2385" spans="1:11">
      <c r="A2385" s="45"/>
      <c r="B2385" s="45"/>
      <c r="C2385" s="45"/>
      <c r="D2385" s="46"/>
      <c r="E2385" s="46"/>
      <c r="F2385" s="46"/>
      <c r="G2385" s="46"/>
      <c r="H2385" s="46"/>
      <c r="I2385" s="46"/>
      <c r="J2385" s="46"/>
      <c r="K2385" s="46"/>
    </row>
    <row r="2386" spans="1:11">
      <c r="A2386" s="45"/>
      <c r="B2386" s="45"/>
      <c r="C2386" s="45"/>
      <c r="D2386" s="46"/>
      <c r="E2386" s="46"/>
      <c r="F2386" s="46"/>
      <c r="G2386" s="46"/>
      <c r="H2386" s="46"/>
      <c r="I2386" s="46"/>
      <c r="J2386" s="46"/>
      <c r="K2386" s="46"/>
    </row>
    <row r="2387" spans="1:11">
      <c r="A2387" s="45"/>
      <c r="B2387" s="45"/>
      <c r="C2387" s="45"/>
      <c r="D2387" s="46"/>
      <c r="E2387" s="46"/>
      <c r="F2387" s="46"/>
      <c r="G2387" s="46"/>
      <c r="H2387" s="46"/>
      <c r="I2387" s="46"/>
      <c r="J2387" s="46"/>
      <c r="K2387" s="46"/>
    </row>
    <row r="2388" spans="1:11">
      <c r="A2388" s="45"/>
      <c r="B2388" s="45"/>
      <c r="C2388" s="45"/>
      <c r="D2388" s="46"/>
      <c r="E2388" s="46"/>
      <c r="F2388" s="46"/>
      <c r="G2388" s="46"/>
      <c r="H2388" s="46"/>
      <c r="I2388" s="46"/>
      <c r="J2388" s="46"/>
      <c r="K2388" s="46"/>
    </row>
    <row r="2389" spans="1:11">
      <c r="A2389" s="45"/>
      <c r="B2389" s="45"/>
      <c r="C2389" s="45"/>
      <c r="D2389" s="46"/>
      <c r="E2389" s="46"/>
      <c r="F2389" s="46"/>
      <c r="G2389" s="46"/>
      <c r="H2389" s="46"/>
      <c r="I2389" s="46"/>
      <c r="J2389" s="46"/>
      <c r="K2389" s="46"/>
    </row>
    <row r="2390" spans="1:11">
      <c r="A2390" s="45"/>
      <c r="B2390" s="45"/>
      <c r="C2390" s="45"/>
      <c r="D2390" s="46"/>
      <c r="E2390" s="46"/>
      <c r="F2390" s="46"/>
      <c r="G2390" s="46"/>
      <c r="H2390" s="46"/>
      <c r="I2390" s="46"/>
      <c r="J2390" s="46"/>
      <c r="K2390" s="46"/>
    </row>
    <row r="2391" spans="1:11">
      <c r="A2391" s="45"/>
      <c r="B2391" s="45"/>
      <c r="C2391" s="45"/>
      <c r="D2391" s="46"/>
      <c r="E2391" s="46"/>
      <c r="F2391" s="46"/>
      <c r="G2391" s="46"/>
      <c r="H2391" s="46"/>
      <c r="I2391" s="46"/>
      <c r="J2391" s="46"/>
      <c r="K2391" s="46"/>
    </row>
    <row r="2392" spans="1:11">
      <c r="A2392" s="45"/>
      <c r="B2392" s="45"/>
      <c r="C2392" s="45"/>
      <c r="D2392" s="46"/>
      <c r="E2392" s="46"/>
      <c r="F2392" s="46"/>
      <c r="G2392" s="46"/>
      <c r="H2392" s="46"/>
      <c r="I2392" s="46"/>
      <c r="J2392" s="46"/>
      <c r="K2392" s="46"/>
    </row>
    <row r="2393" spans="1:11">
      <c r="A2393" s="45"/>
      <c r="B2393" s="45"/>
      <c r="C2393" s="45"/>
      <c r="D2393" s="46"/>
      <c r="E2393" s="46"/>
      <c r="F2393" s="46"/>
      <c r="G2393" s="46"/>
      <c r="H2393" s="46"/>
      <c r="I2393" s="46"/>
      <c r="J2393" s="46"/>
      <c r="K2393" s="46"/>
    </row>
    <row r="2394" spans="1:11">
      <c r="A2394" s="45"/>
      <c r="B2394" s="45"/>
      <c r="C2394" s="45"/>
      <c r="D2394" s="46"/>
      <c r="E2394" s="46"/>
      <c r="F2394" s="46"/>
      <c r="G2394" s="46"/>
      <c r="H2394" s="46"/>
      <c r="I2394" s="46"/>
      <c r="J2394" s="46"/>
      <c r="K2394" s="46"/>
    </row>
    <row r="2395" spans="1:11">
      <c r="A2395" s="45"/>
      <c r="B2395" s="45"/>
      <c r="C2395" s="45"/>
      <c r="D2395" s="46"/>
      <c r="E2395" s="46"/>
      <c r="F2395" s="46"/>
      <c r="G2395" s="46"/>
      <c r="H2395" s="46"/>
      <c r="I2395" s="46"/>
      <c r="J2395" s="46"/>
      <c r="K2395" s="46"/>
    </row>
    <row r="2396" spans="1:11">
      <c r="A2396" s="45"/>
      <c r="B2396" s="45"/>
      <c r="C2396" s="45"/>
      <c r="D2396" s="46"/>
      <c r="E2396" s="46"/>
      <c r="F2396" s="46"/>
      <c r="G2396" s="46"/>
      <c r="H2396" s="46"/>
      <c r="I2396" s="46"/>
      <c r="J2396" s="46"/>
      <c r="K2396" s="46"/>
    </row>
    <row r="2397" spans="1:11">
      <c r="A2397" s="45"/>
      <c r="B2397" s="45"/>
      <c r="C2397" s="45"/>
      <c r="D2397" s="46"/>
      <c r="E2397" s="46"/>
      <c r="F2397" s="46"/>
      <c r="G2397" s="46"/>
      <c r="H2397" s="46"/>
      <c r="I2397" s="46"/>
      <c r="J2397" s="46"/>
      <c r="K2397" s="46"/>
    </row>
    <row r="2398" spans="1:11">
      <c r="A2398" s="45"/>
      <c r="B2398" s="45"/>
      <c r="C2398" s="45"/>
      <c r="D2398" s="46"/>
      <c r="E2398" s="46"/>
      <c r="F2398" s="46"/>
      <c r="G2398" s="46"/>
      <c r="H2398" s="46"/>
      <c r="I2398" s="46"/>
      <c r="J2398" s="46"/>
      <c r="K2398" s="46"/>
    </row>
    <row r="2399" spans="1:11">
      <c r="A2399" s="45"/>
      <c r="B2399" s="45"/>
      <c r="C2399" s="45"/>
      <c r="D2399" s="46"/>
      <c r="E2399" s="46"/>
      <c r="F2399" s="46"/>
      <c r="G2399" s="46"/>
      <c r="H2399" s="46"/>
      <c r="I2399" s="46"/>
      <c r="J2399" s="46"/>
      <c r="K2399" s="46"/>
    </row>
    <row r="2400" spans="1:11">
      <c r="A2400" s="45"/>
      <c r="B2400" s="45"/>
      <c r="C2400" s="45"/>
      <c r="D2400" s="46"/>
      <c r="E2400" s="46"/>
      <c r="F2400" s="46"/>
      <c r="G2400" s="46"/>
      <c r="H2400" s="46"/>
      <c r="I2400" s="46"/>
      <c r="J2400" s="46"/>
      <c r="K2400" s="46"/>
    </row>
    <row r="2401" spans="1:11">
      <c r="A2401" s="45"/>
      <c r="B2401" s="45"/>
      <c r="C2401" s="45"/>
      <c r="D2401" s="46"/>
      <c r="E2401" s="46"/>
      <c r="F2401" s="46"/>
      <c r="G2401" s="46"/>
      <c r="H2401" s="46"/>
      <c r="I2401" s="46"/>
      <c r="J2401" s="46"/>
      <c r="K2401" s="46"/>
    </row>
    <row r="2402" spans="1:11">
      <c r="A2402" s="45"/>
      <c r="B2402" s="45"/>
      <c r="C2402" s="45"/>
      <c r="D2402" s="46"/>
      <c r="E2402" s="46"/>
      <c r="F2402" s="46"/>
      <c r="G2402" s="46"/>
      <c r="H2402" s="46"/>
      <c r="I2402" s="46"/>
      <c r="J2402" s="46"/>
      <c r="K2402" s="46"/>
    </row>
    <row r="2403" spans="1:11">
      <c r="A2403" s="45"/>
      <c r="B2403" s="45"/>
      <c r="C2403" s="45"/>
      <c r="D2403" s="46"/>
      <c r="E2403" s="46"/>
      <c r="F2403" s="46"/>
      <c r="G2403" s="46"/>
      <c r="H2403" s="46"/>
      <c r="I2403" s="46"/>
      <c r="J2403" s="46"/>
      <c r="K2403" s="46"/>
    </row>
    <row r="2404" spans="1:11">
      <c r="A2404" s="45"/>
      <c r="B2404" s="45"/>
      <c r="C2404" s="45"/>
      <c r="D2404" s="46"/>
      <c r="E2404" s="46"/>
      <c r="F2404" s="46"/>
      <c r="G2404" s="46"/>
      <c r="H2404" s="46"/>
      <c r="I2404" s="46"/>
      <c r="J2404" s="46"/>
      <c r="K2404" s="46"/>
    </row>
    <row r="2405" spans="1:11">
      <c r="A2405" s="45"/>
      <c r="B2405" s="45"/>
      <c r="C2405" s="45"/>
      <c r="D2405" s="46"/>
      <c r="E2405" s="46"/>
      <c r="F2405" s="46"/>
      <c r="G2405" s="46"/>
      <c r="H2405" s="46"/>
      <c r="I2405" s="46"/>
      <c r="J2405" s="46"/>
      <c r="K2405" s="46"/>
    </row>
    <row r="2406" spans="1:11">
      <c r="A2406" s="45"/>
      <c r="B2406" s="45"/>
      <c r="C2406" s="45"/>
      <c r="D2406" s="46"/>
      <c r="E2406" s="46"/>
      <c r="F2406" s="46"/>
      <c r="G2406" s="46"/>
      <c r="H2406" s="46"/>
      <c r="I2406" s="46"/>
      <c r="J2406" s="46"/>
      <c r="K2406" s="46"/>
    </row>
    <row r="2407" spans="1:11">
      <c r="A2407" s="45"/>
      <c r="B2407" s="45"/>
      <c r="C2407" s="45"/>
      <c r="D2407" s="46"/>
      <c r="E2407" s="46"/>
      <c r="F2407" s="46"/>
      <c r="G2407" s="46"/>
      <c r="H2407" s="46"/>
      <c r="I2407" s="46"/>
      <c r="J2407" s="46"/>
      <c r="K2407" s="46"/>
    </row>
    <row r="2408" spans="1:11">
      <c r="A2408" s="45"/>
      <c r="B2408" s="45"/>
      <c r="C2408" s="45"/>
      <c r="D2408" s="46"/>
      <c r="E2408" s="46"/>
      <c r="F2408" s="46"/>
      <c r="G2408" s="46"/>
      <c r="H2408" s="46"/>
      <c r="I2408" s="46"/>
      <c r="J2408" s="46"/>
      <c r="K2408" s="46"/>
    </row>
    <row r="2409" spans="1:11">
      <c r="A2409" s="45"/>
      <c r="B2409" s="45"/>
      <c r="C2409" s="45"/>
      <c r="D2409" s="46"/>
      <c r="E2409" s="46"/>
      <c r="F2409" s="46"/>
      <c r="G2409" s="46"/>
      <c r="H2409" s="46"/>
      <c r="I2409" s="46"/>
      <c r="J2409" s="46"/>
      <c r="K2409" s="46"/>
    </row>
    <row r="2410" spans="1:11">
      <c r="A2410" s="45"/>
      <c r="B2410" s="45"/>
      <c r="C2410" s="45"/>
      <c r="D2410" s="46"/>
      <c r="E2410" s="46"/>
      <c r="F2410" s="46"/>
      <c r="G2410" s="46"/>
      <c r="H2410" s="46"/>
      <c r="I2410" s="46"/>
      <c r="J2410" s="46"/>
      <c r="K2410" s="46"/>
    </row>
    <row r="2411" spans="1:11">
      <c r="A2411" s="45"/>
      <c r="B2411" s="45"/>
      <c r="C2411" s="45"/>
      <c r="D2411" s="46"/>
      <c r="E2411" s="46"/>
      <c r="F2411" s="46"/>
      <c r="G2411" s="46"/>
      <c r="H2411" s="46"/>
      <c r="I2411" s="46"/>
      <c r="J2411" s="46"/>
      <c r="K2411" s="46"/>
    </row>
    <row r="2412" spans="1:11">
      <c r="A2412" s="45"/>
      <c r="B2412" s="45"/>
      <c r="C2412" s="45"/>
      <c r="D2412" s="46"/>
      <c r="E2412" s="46"/>
      <c r="F2412" s="46"/>
      <c r="G2412" s="46"/>
      <c r="H2412" s="46"/>
      <c r="I2412" s="46"/>
      <c r="J2412" s="46"/>
      <c r="K2412" s="46"/>
    </row>
    <row r="2413" spans="1:11">
      <c r="A2413" s="45"/>
      <c r="B2413" s="45"/>
      <c r="C2413" s="45"/>
      <c r="D2413" s="46"/>
      <c r="E2413" s="46"/>
      <c r="F2413" s="46"/>
      <c r="G2413" s="46"/>
      <c r="H2413" s="46"/>
      <c r="I2413" s="46"/>
      <c r="J2413" s="46"/>
      <c r="K2413" s="46"/>
    </row>
    <row r="2414" spans="1:11">
      <c r="A2414" s="45"/>
      <c r="B2414" s="45"/>
      <c r="C2414" s="45"/>
      <c r="D2414" s="46"/>
      <c r="E2414" s="46"/>
      <c r="F2414" s="46"/>
      <c r="G2414" s="46"/>
      <c r="H2414" s="46"/>
      <c r="I2414" s="46"/>
      <c r="J2414" s="46"/>
      <c r="K2414" s="46"/>
    </row>
    <row r="2415" spans="1:11">
      <c r="A2415" s="45"/>
      <c r="B2415" s="45"/>
      <c r="C2415" s="45"/>
      <c r="D2415" s="46"/>
      <c r="E2415" s="46"/>
      <c r="F2415" s="46"/>
      <c r="G2415" s="46"/>
      <c r="H2415" s="46"/>
      <c r="I2415" s="46"/>
      <c r="J2415" s="46"/>
      <c r="K2415" s="46"/>
    </row>
    <row r="2416" spans="1:11">
      <c r="A2416" s="45"/>
      <c r="B2416" s="45"/>
      <c r="C2416" s="45"/>
      <c r="D2416" s="46"/>
      <c r="E2416" s="46"/>
      <c r="F2416" s="46"/>
      <c r="G2416" s="46"/>
      <c r="H2416" s="46"/>
      <c r="I2416" s="46"/>
      <c r="J2416" s="46"/>
      <c r="K2416" s="46"/>
    </row>
    <row r="2417" spans="1:11">
      <c r="A2417" s="45"/>
      <c r="B2417" s="45"/>
      <c r="C2417" s="45"/>
      <c r="D2417" s="46"/>
      <c r="E2417" s="46"/>
      <c r="F2417" s="46"/>
      <c r="G2417" s="46"/>
      <c r="H2417" s="46"/>
      <c r="I2417" s="46"/>
      <c r="J2417" s="46"/>
      <c r="K2417" s="46"/>
    </row>
    <row r="2418" spans="1:11">
      <c r="A2418" s="45"/>
      <c r="B2418" s="45"/>
      <c r="C2418" s="45"/>
      <c r="D2418" s="46"/>
      <c r="E2418" s="46"/>
      <c r="F2418" s="46"/>
      <c r="G2418" s="46"/>
      <c r="H2418" s="46"/>
      <c r="I2418" s="46"/>
      <c r="J2418" s="46"/>
      <c r="K2418" s="46"/>
    </row>
    <row r="2419" spans="1:11">
      <c r="A2419" s="45"/>
      <c r="B2419" s="45"/>
      <c r="C2419" s="45"/>
      <c r="D2419" s="46"/>
      <c r="E2419" s="46"/>
      <c r="F2419" s="46"/>
      <c r="G2419" s="46"/>
      <c r="H2419" s="46"/>
      <c r="I2419" s="46"/>
      <c r="J2419" s="46"/>
      <c r="K2419" s="46"/>
    </row>
    <row r="2420" spans="1:11">
      <c r="A2420" s="45"/>
      <c r="B2420" s="45"/>
      <c r="C2420" s="45"/>
      <c r="D2420" s="46"/>
      <c r="E2420" s="46"/>
      <c r="F2420" s="46"/>
      <c r="G2420" s="46"/>
      <c r="H2420" s="46"/>
      <c r="I2420" s="46"/>
      <c r="J2420" s="46"/>
      <c r="K2420" s="46"/>
    </row>
    <row r="2421" spans="1:11">
      <c r="A2421" s="45"/>
      <c r="B2421" s="45"/>
      <c r="C2421" s="45"/>
      <c r="D2421" s="46"/>
      <c r="E2421" s="46"/>
      <c r="F2421" s="46"/>
      <c r="G2421" s="46"/>
      <c r="H2421" s="46"/>
      <c r="I2421" s="46"/>
      <c r="J2421" s="46"/>
      <c r="K2421" s="46"/>
    </row>
    <row r="2422" spans="1:11">
      <c r="A2422" s="45"/>
      <c r="B2422" s="45"/>
      <c r="C2422" s="45"/>
      <c r="D2422" s="46"/>
      <c r="E2422" s="46"/>
      <c r="F2422" s="46"/>
      <c r="G2422" s="46"/>
      <c r="H2422" s="46"/>
      <c r="I2422" s="46"/>
      <c r="J2422" s="46"/>
      <c r="K2422" s="46"/>
    </row>
    <row r="2423" spans="1:11">
      <c r="A2423" s="45"/>
      <c r="B2423" s="45"/>
      <c r="C2423" s="45"/>
      <c r="D2423" s="46"/>
      <c r="E2423" s="46"/>
      <c r="F2423" s="46"/>
      <c r="G2423" s="46"/>
      <c r="H2423" s="46"/>
      <c r="I2423" s="46"/>
      <c r="J2423" s="46"/>
      <c r="K2423" s="46"/>
    </row>
    <row r="2424" spans="1:11">
      <c r="A2424" s="45"/>
      <c r="B2424" s="45"/>
      <c r="C2424" s="45"/>
      <c r="D2424" s="46"/>
      <c r="E2424" s="46"/>
      <c r="F2424" s="46"/>
      <c r="G2424" s="46"/>
      <c r="H2424" s="46"/>
      <c r="I2424" s="46"/>
      <c r="J2424" s="46"/>
      <c r="K2424" s="46"/>
    </row>
    <row r="2425" spans="1:11">
      <c r="A2425" s="45"/>
      <c r="B2425" s="45"/>
      <c r="C2425" s="45"/>
      <c r="D2425" s="46"/>
      <c r="E2425" s="46"/>
      <c r="F2425" s="46"/>
      <c r="G2425" s="46"/>
      <c r="H2425" s="46"/>
      <c r="I2425" s="46"/>
      <c r="J2425" s="46"/>
      <c r="K2425" s="46"/>
    </row>
    <row r="2426" spans="1:11">
      <c r="A2426" s="45"/>
      <c r="B2426" s="45"/>
      <c r="C2426" s="45"/>
      <c r="D2426" s="46"/>
      <c r="E2426" s="46"/>
      <c r="F2426" s="46"/>
      <c r="G2426" s="46"/>
      <c r="H2426" s="46"/>
      <c r="I2426" s="46"/>
      <c r="J2426" s="46"/>
      <c r="K2426" s="46"/>
    </row>
    <row r="2427" spans="1:11">
      <c r="A2427" s="45"/>
      <c r="B2427" s="45"/>
      <c r="C2427" s="45"/>
      <c r="D2427" s="46"/>
      <c r="E2427" s="46"/>
      <c r="F2427" s="46"/>
      <c r="G2427" s="46"/>
      <c r="H2427" s="46"/>
      <c r="I2427" s="46"/>
      <c r="J2427" s="46"/>
      <c r="K2427" s="46"/>
    </row>
    <row r="2428" spans="1:11">
      <c r="A2428" s="45"/>
      <c r="B2428" s="45"/>
      <c r="C2428" s="45"/>
      <c r="D2428" s="46"/>
      <c r="E2428" s="46"/>
      <c r="F2428" s="46"/>
      <c r="G2428" s="46"/>
      <c r="H2428" s="46"/>
      <c r="I2428" s="46"/>
      <c r="J2428" s="46"/>
      <c r="K2428" s="46"/>
    </row>
    <row r="2429" spans="1:11">
      <c r="A2429" s="45"/>
      <c r="B2429" s="45"/>
      <c r="C2429" s="45"/>
      <c r="D2429" s="46"/>
      <c r="E2429" s="46"/>
      <c r="F2429" s="46"/>
      <c r="G2429" s="46"/>
      <c r="H2429" s="46"/>
      <c r="I2429" s="46"/>
      <c r="J2429" s="46"/>
      <c r="K2429" s="46"/>
    </row>
    <row r="2430" spans="1:11">
      <c r="A2430" s="45"/>
      <c r="B2430" s="45"/>
      <c r="C2430" s="45"/>
      <c r="D2430" s="46"/>
      <c r="E2430" s="46"/>
      <c r="F2430" s="46"/>
      <c r="G2430" s="46"/>
      <c r="H2430" s="46"/>
      <c r="I2430" s="46"/>
      <c r="J2430" s="46"/>
      <c r="K2430" s="46"/>
    </row>
    <row r="2431" spans="1:11">
      <c r="A2431" s="45"/>
      <c r="B2431" s="45"/>
      <c r="C2431" s="45"/>
      <c r="D2431" s="46"/>
      <c r="E2431" s="46"/>
      <c r="F2431" s="46"/>
      <c r="G2431" s="46"/>
      <c r="H2431" s="46"/>
      <c r="I2431" s="46"/>
      <c r="J2431" s="46"/>
      <c r="K2431" s="46"/>
    </row>
    <row r="2432" spans="1:11">
      <c r="A2432" s="45"/>
      <c r="B2432" s="45"/>
      <c r="C2432" s="45"/>
      <c r="D2432" s="46"/>
      <c r="E2432" s="46"/>
      <c r="F2432" s="46"/>
      <c r="G2432" s="46"/>
      <c r="H2432" s="46"/>
      <c r="I2432" s="46"/>
      <c r="J2432" s="46"/>
      <c r="K2432" s="46"/>
    </row>
    <row r="2433" spans="1:11">
      <c r="A2433" s="45"/>
      <c r="B2433" s="45"/>
      <c r="C2433" s="45"/>
      <c r="D2433" s="46"/>
      <c r="E2433" s="46"/>
      <c r="F2433" s="46"/>
      <c r="G2433" s="46"/>
      <c r="H2433" s="46"/>
      <c r="I2433" s="46"/>
      <c r="J2433" s="46"/>
      <c r="K2433" s="46"/>
    </row>
    <row r="2434" spans="1:11">
      <c r="A2434" s="45"/>
      <c r="B2434" s="45"/>
      <c r="C2434" s="45"/>
      <c r="D2434" s="46"/>
      <c r="E2434" s="46"/>
      <c r="F2434" s="46"/>
      <c r="G2434" s="46"/>
      <c r="H2434" s="46"/>
      <c r="I2434" s="46"/>
      <c r="J2434" s="46"/>
      <c r="K2434" s="46"/>
    </row>
    <row r="2435" spans="1:11">
      <c r="A2435" s="45"/>
      <c r="B2435" s="45"/>
      <c r="C2435" s="45"/>
      <c r="D2435" s="46"/>
      <c r="E2435" s="46"/>
      <c r="F2435" s="46"/>
      <c r="G2435" s="46"/>
      <c r="H2435" s="46"/>
      <c r="I2435" s="46"/>
      <c r="J2435" s="46"/>
      <c r="K2435" s="46"/>
    </row>
    <row r="2436" spans="1:11">
      <c r="A2436" s="45"/>
      <c r="B2436" s="45"/>
      <c r="C2436" s="45"/>
      <c r="D2436" s="46"/>
      <c r="E2436" s="46"/>
      <c r="F2436" s="46"/>
      <c r="G2436" s="46"/>
      <c r="H2436" s="46"/>
      <c r="I2436" s="46"/>
      <c r="J2436" s="46"/>
      <c r="K2436" s="46"/>
    </row>
    <row r="2437" spans="1:11">
      <c r="A2437" s="45"/>
      <c r="B2437" s="45"/>
      <c r="C2437" s="45"/>
      <c r="D2437" s="46"/>
      <c r="E2437" s="46"/>
      <c r="F2437" s="46"/>
      <c r="G2437" s="46"/>
      <c r="H2437" s="46"/>
      <c r="I2437" s="46"/>
      <c r="J2437" s="46"/>
      <c r="K2437" s="46"/>
    </row>
    <row r="2438" spans="1:11">
      <c r="A2438" s="45"/>
      <c r="B2438" s="45"/>
      <c r="C2438" s="45"/>
      <c r="D2438" s="46"/>
      <c r="E2438" s="46"/>
      <c r="F2438" s="46"/>
      <c r="G2438" s="46"/>
      <c r="H2438" s="46"/>
      <c r="I2438" s="46"/>
      <c r="J2438" s="46"/>
      <c r="K2438" s="46"/>
    </row>
    <row r="2439" spans="1:11">
      <c r="A2439" s="45"/>
      <c r="B2439" s="45"/>
      <c r="C2439" s="45"/>
      <c r="D2439" s="46"/>
      <c r="E2439" s="46"/>
      <c r="F2439" s="46"/>
      <c r="G2439" s="46"/>
      <c r="H2439" s="46"/>
      <c r="I2439" s="46"/>
      <c r="J2439" s="46"/>
      <c r="K2439" s="46"/>
    </row>
    <row r="2440" spans="1:11">
      <c r="A2440" s="45"/>
      <c r="B2440" s="45"/>
      <c r="C2440" s="45"/>
      <c r="D2440" s="46"/>
      <c r="E2440" s="46"/>
      <c r="F2440" s="46"/>
      <c r="G2440" s="46"/>
      <c r="H2440" s="46"/>
      <c r="I2440" s="46"/>
      <c r="J2440" s="46"/>
      <c r="K2440" s="46"/>
    </row>
    <row r="2441" spans="1:11">
      <c r="A2441" s="45"/>
      <c r="B2441" s="45"/>
      <c r="C2441" s="45"/>
      <c r="D2441" s="46"/>
      <c r="E2441" s="46"/>
      <c r="F2441" s="46"/>
      <c r="G2441" s="46"/>
      <c r="H2441" s="46"/>
      <c r="I2441" s="46"/>
      <c r="J2441" s="46"/>
      <c r="K2441" s="46"/>
    </row>
    <row r="2442" spans="1:11">
      <c r="A2442" s="45"/>
      <c r="B2442" s="45"/>
      <c r="C2442" s="45"/>
      <c r="D2442" s="46"/>
      <c r="E2442" s="46"/>
      <c r="F2442" s="46"/>
      <c r="G2442" s="46"/>
      <c r="H2442" s="46"/>
      <c r="I2442" s="46"/>
      <c r="J2442" s="46"/>
      <c r="K2442" s="46"/>
    </row>
    <row r="2443" spans="1:11">
      <c r="A2443" s="45"/>
      <c r="B2443" s="45"/>
      <c r="C2443" s="45"/>
      <c r="D2443" s="46"/>
      <c r="E2443" s="46"/>
      <c r="F2443" s="46"/>
      <c r="G2443" s="46"/>
      <c r="H2443" s="46"/>
      <c r="I2443" s="46"/>
      <c r="J2443" s="46"/>
      <c r="K2443" s="46"/>
    </row>
    <row r="2444" spans="1:11">
      <c r="A2444" s="45"/>
      <c r="B2444" s="45"/>
      <c r="C2444" s="45"/>
      <c r="D2444" s="46"/>
      <c r="E2444" s="46"/>
      <c r="F2444" s="46"/>
      <c r="G2444" s="46"/>
      <c r="H2444" s="46"/>
      <c r="I2444" s="46"/>
      <c r="J2444" s="46"/>
      <c r="K2444" s="46"/>
    </row>
    <row r="2445" spans="1:11">
      <c r="A2445" s="45"/>
      <c r="B2445" s="45"/>
      <c r="C2445" s="45"/>
      <c r="D2445" s="46"/>
      <c r="E2445" s="46"/>
      <c r="F2445" s="46"/>
      <c r="G2445" s="46"/>
      <c r="H2445" s="46"/>
      <c r="I2445" s="46"/>
      <c r="J2445" s="46"/>
      <c r="K2445" s="46"/>
    </row>
    <row r="2446" spans="1:11">
      <c r="A2446" s="45"/>
      <c r="B2446" s="45"/>
      <c r="C2446" s="45"/>
      <c r="D2446" s="46"/>
      <c r="E2446" s="46"/>
      <c r="F2446" s="46"/>
      <c r="G2446" s="46"/>
      <c r="H2446" s="46"/>
      <c r="I2446" s="46"/>
      <c r="J2446" s="46"/>
      <c r="K2446" s="46"/>
    </row>
    <row r="2447" spans="1:11">
      <c r="A2447" s="45"/>
      <c r="B2447" s="45"/>
      <c r="C2447" s="45"/>
      <c r="D2447" s="46"/>
      <c r="E2447" s="46"/>
      <c r="F2447" s="46"/>
      <c r="G2447" s="46"/>
      <c r="H2447" s="46"/>
      <c r="I2447" s="46"/>
      <c r="J2447" s="46"/>
      <c r="K2447" s="46"/>
    </row>
    <row r="2448" spans="1:11">
      <c r="A2448" s="45"/>
      <c r="B2448" s="45"/>
      <c r="C2448" s="45"/>
      <c r="D2448" s="46"/>
      <c r="E2448" s="46"/>
      <c r="F2448" s="46"/>
      <c r="G2448" s="46"/>
      <c r="H2448" s="46"/>
      <c r="I2448" s="46"/>
      <c r="J2448" s="46"/>
      <c r="K2448" s="46"/>
    </row>
    <row r="2449" spans="1:11">
      <c r="A2449" s="45"/>
      <c r="B2449" s="45"/>
      <c r="C2449" s="45"/>
      <c r="D2449" s="46"/>
      <c r="E2449" s="46"/>
      <c r="F2449" s="46"/>
      <c r="G2449" s="46"/>
      <c r="H2449" s="46"/>
      <c r="I2449" s="46"/>
      <c r="J2449" s="46"/>
      <c r="K2449" s="46"/>
    </row>
    <row r="2450" spans="1:11">
      <c r="A2450" s="45"/>
      <c r="B2450" s="45"/>
      <c r="C2450" s="45"/>
      <c r="D2450" s="46"/>
      <c r="E2450" s="46"/>
      <c r="F2450" s="46"/>
      <c r="G2450" s="46"/>
      <c r="H2450" s="46"/>
      <c r="I2450" s="46"/>
      <c r="J2450" s="46"/>
      <c r="K2450" s="46"/>
    </row>
    <row r="2451" spans="1:11">
      <c r="A2451" s="45"/>
      <c r="B2451" s="45"/>
      <c r="C2451" s="45"/>
      <c r="D2451" s="46"/>
      <c r="E2451" s="46"/>
      <c r="F2451" s="46"/>
      <c r="G2451" s="46"/>
      <c r="H2451" s="46"/>
      <c r="I2451" s="46"/>
      <c r="J2451" s="46"/>
      <c r="K2451" s="46"/>
    </row>
    <row r="2452" spans="1:11">
      <c r="A2452" s="45"/>
      <c r="B2452" s="45"/>
      <c r="C2452" s="45"/>
      <c r="D2452" s="46"/>
      <c r="E2452" s="46"/>
      <c r="F2452" s="46"/>
      <c r="G2452" s="46"/>
      <c r="H2452" s="46"/>
      <c r="I2452" s="46"/>
      <c r="J2452" s="46"/>
      <c r="K2452" s="46"/>
    </row>
    <row r="2453" spans="1:11">
      <c r="A2453" s="45"/>
      <c r="B2453" s="45"/>
      <c r="C2453" s="45"/>
      <c r="D2453" s="46"/>
      <c r="E2453" s="46"/>
      <c r="F2453" s="46"/>
      <c r="G2453" s="46"/>
      <c r="H2453" s="46"/>
      <c r="I2453" s="46"/>
      <c r="J2453" s="46"/>
      <c r="K2453" s="46"/>
    </row>
    <row r="2454" spans="1:11">
      <c r="A2454" s="45"/>
      <c r="B2454" s="45"/>
      <c r="C2454" s="45"/>
      <c r="D2454" s="46"/>
      <c r="E2454" s="46"/>
      <c r="F2454" s="46"/>
      <c r="G2454" s="46"/>
      <c r="H2454" s="46"/>
      <c r="I2454" s="46"/>
      <c r="J2454" s="46"/>
      <c r="K2454" s="46"/>
    </row>
    <row r="2455" spans="1:11">
      <c r="A2455" s="45"/>
      <c r="B2455" s="45"/>
      <c r="C2455" s="45"/>
      <c r="D2455" s="46"/>
      <c r="E2455" s="46"/>
      <c r="F2455" s="46"/>
      <c r="G2455" s="46"/>
      <c r="H2455" s="46"/>
      <c r="I2455" s="46"/>
      <c r="J2455" s="46"/>
      <c r="K2455" s="46"/>
    </row>
    <row r="2456" spans="1:11">
      <c r="A2456" s="45"/>
      <c r="B2456" s="45"/>
      <c r="C2456" s="45"/>
      <c r="D2456" s="46"/>
      <c r="E2456" s="46"/>
      <c r="F2456" s="46"/>
      <c r="G2456" s="46"/>
      <c r="H2456" s="46"/>
      <c r="I2456" s="46"/>
      <c r="J2456" s="46"/>
      <c r="K2456" s="46"/>
    </row>
    <row r="2457" spans="1:11">
      <c r="A2457" s="45"/>
      <c r="B2457" s="45"/>
      <c r="C2457" s="45"/>
      <c r="D2457" s="46"/>
      <c r="E2457" s="46"/>
      <c r="F2457" s="46"/>
      <c r="G2457" s="46"/>
      <c r="H2457" s="46"/>
      <c r="I2457" s="46"/>
      <c r="J2457" s="46"/>
      <c r="K2457" s="46"/>
    </row>
    <row r="2458" spans="1:11">
      <c r="A2458" s="45"/>
      <c r="B2458" s="45"/>
      <c r="C2458" s="45"/>
      <c r="D2458" s="46"/>
      <c r="E2458" s="46"/>
      <c r="F2458" s="46"/>
      <c r="G2458" s="46"/>
      <c r="H2458" s="46"/>
      <c r="I2458" s="46"/>
      <c r="J2458" s="46"/>
      <c r="K2458" s="46"/>
    </row>
    <row r="2459" spans="1:11">
      <c r="A2459" s="45"/>
      <c r="B2459" s="45"/>
      <c r="C2459" s="45"/>
      <c r="D2459" s="46"/>
      <c r="E2459" s="46"/>
      <c r="F2459" s="46"/>
      <c r="G2459" s="46"/>
      <c r="H2459" s="46"/>
      <c r="I2459" s="46"/>
      <c r="J2459" s="46"/>
      <c r="K2459" s="46"/>
    </row>
    <row r="2460" spans="1:11">
      <c r="A2460" s="45"/>
      <c r="B2460" s="45"/>
      <c r="C2460" s="45"/>
      <c r="D2460" s="46"/>
      <c r="E2460" s="46"/>
      <c r="F2460" s="46"/>
      <c r="G2460" s="46"/>
      <c r="H2460" s="46"/>
      <c r="I2460" s="46"/>
      <c r="J2460" s="46"/>
      <c r="K2460" s="46"/>
    </row>
    <row r="2461" spans="1:11">
      <c r="A2461" s="45"/>
      <c r="B2461" s="45"/>
      <c r="C2461" s="45"/>
      <c r="D2461" s="46"/>
      <c r="E2461" s="46"/>
      <c r="F2461" s="46"/>
      <c r="G2461" s="46"/>
      <c r="H2461" s="46"/>
      <c r="I2461" s="46"/>
      <c r="J2461" s="46"/>
      <c r="K2461" s="46"/>
    </row>
    <row r="2462" spans="1:11">
      <c r="A2462" s="45"/>
      <c r="B2462" s="45"/>
      <c r="C2462" s="45"/>
      <c r="D2462" s="46"/>
      <c r="E2462" s="46"/>
      <c r="F2462" s="46"/>
      <c r="G2462" s="46"/>
      <c r="H2462" s="46"/>
      <c r="I2462" s="46"/>
      <c r="J2462" s="46"/>
      <c r="K2462" s="46"/>
    </row>
    <row r="2463" spans="1:11">
      <c r="A2463" s="45"/>
      <c r="B2463" s="45"/>
      <c r="C2463" s="45"/>
      <c r="D2463" s="46"/>
      <c r="E2463" s="46"/>
      <c r="F2463" s="46"/>
      <c r="G2463" s="46"/>
      <c r="H2463" s="46"/>
      <c r="I2463" s="46"/>
      <c r="J2463" s="46"/>
      <c r="K2463" s="46"/>
    </row>
    <row r="2464" spans="1:11">
      <c r="A2464" s="45"/>
      <c r="B2464" s="45"/>
      <c r="C2464" s="45"/>
      <c r="D2464" s="46"/>
      <c r="E2464" s="46"/>
      <c r="F2464" s="46"/>
      <c r="G2464" s="46"/>
      <c r="H2464" s="46"/>
      <c r="I2464" s="46"/>
      <c r="J2464" s="46"/>
      <c r="K2464" s="46"/>
    </row>
    <row r="2465" spans="1:11">
      <c r="A2465" s="45"/>
      <c r="B2465" s="45"/>
      <c r="C2465" s="45"/>
      <c r="D2465" s="46"/>
      <c r="E2465" s="46"/>
      <c r="F2465" s="46"/>
      <c r="G2465" s="46"/>
      <c r="H2465" s="46"/>
      <c r="I2465" s="46"/>
      <c r="J2465" s="46"/>
      <c r="K2465" s="46"/>
    </row>
    <row r="2466" spans="1:11">
      <c r="A2466" s="45"/>
      <c r="B2466" s="45"/>
      <c r="C2466" s="45"/>
      <c r="D2466" s="46"/>
      <c r="E2466" s="46"/>
      <c r="F2466" s="46"/>
      <c r="G2466" s="46"/>
      <c r="H2466" s="46"/>
      <c r="I2466" s="46"/>
      <c r="J2466" s="46"/>
      <c r="K2466" s="46"/>
    </row>
    <row r="2467" spans="1:11">
      <c r="A2467" s="45"/>
      <c r="B2467" s="45"/>
      <c r="C2467" s="45"/>
      <c r="D2467" s="46"/>
      <c r="E2467" s="46"/>
      <c r="F2467" s="46"/>
      <c r="G2467" s="46"/>
      <c r="H2467" s="46"/>
      <c r="I2467" s="46"/>
      <c r="J2467" s="46"/>
      <c r="K2467" s="46"/>
    </row>
    <row r="2468" spans="1:11">
      <c r="A2468" s="45"/>
      <c r="B2468" s="45"/>
      <c r="C2468" s="45"/>
      <c r="D2468" s="46"/>
      <c r="E2468" s="46"/>
      <c r="F2468" s="46"/>
      <c r="G2468" s="46"/>
      <c r="H2468" s="46"/>
      <c r="I2468" s="46"/>
      <c r="J2468" s="46"/>
      <c r="K2468" s="46"/>
    </row>
    <row r="2469" spans="1:11">
      <c r="A2469" s="45"/>
      <c r="B2469" s="45"/>
      <c r="C2469" s="45"/>
      <c r="D2469" s="46"/>
      <c r="E2469" s="46"/>
      <c r="F2469" s="46"/>
      <c r="G2469" s="46"/>
      <c r="H2469" s="46"/>
      <c r="I2469" s="46"/>
      <c r="J2469" s="46"/>
      <c r="K2469" s="46"/>
    </row>
    <row r="2470" spans="1:11">
      <c r="A2470" s="45"/>
      <c r="B2470" s="45"/>
      <c r="C2470" s="45"/>
      <c r="D2470" s="46"/>
      <c r="E2470" s="46"/>
      <c r="F2470" s="46"/>
      <c r="G2470" s="46"/>
      <c r="H2470" s="46"/>
      <c r="I2470" s="46"/>
      <c r="J2470" s="46"/>
      <c r="K2470" s="46"/>
    </row>
    <row r="2471" spans="1:11">
      <c r="A2471" s="45"/>
      <c r="B2471" s="45"/>
      <c r="C2471" s="45"/>
      <c r="D2471" s="46"/>
      <c r="E2471" s="46"/>
      <c r="F2471" s="46"/>
      <c r="G2471" s="46"/>
      <c r="H2471" s="46"/>
      <c r="I2471" s="46"/>
      <c r="J2471" s="46"/>
      <c r="K2471" s="46"/>
    </row>
    <row r="2472" spans="1:11">
      <c r="A2472" s="45"/>
      <c r="B2472" s="45"/>
      <c r="C2472" s="45"/>
      <c r="D2472" s="46"/>
      <c r="E2472" s="46"/>
      <c r="F2472" s="46"/>
      <c r="G2472" s="46"/>
      <c r="H2472" s="46"/>
      <c r="I2472" s="46"/>
      <c r="J2472" s="46"/>
      <c r="K2472" s="46"/>
    </row>
    <row r="2473" spans="1:11">
      <c r="A2473" s="45"/>
      <c r="B2473" s="45"/>
      <c r="C2473" s="45"/>
      <c r="D2473" s="46"/>
      <c r="E2473" s="46"/>
      <c r="F2473" s="46"/>
      <c r="G2473" s="46"/>
      <c r="H2473" s="46"/>
      <c r="I2473" s="46"/>
      <c r="J2473" s="46"/>
      <c r="K2473" s="46"/>
    </row>
    <row r="2474" spans="1:11">
      <c r="A2474" s="45"/>
      <c r="B2474" s="45"/>
      <c r="C2474" s="45"/>
      <c r="D2474" s="46"/>
      <c r="E2474" s="46"/>
      <c r="F2474" s="46"/>
      <c r="G2474" s="46"/>
      <c r="H2474" s="46"/>
      <c r="I2474" s="46"/>
      <c r="J2474" s="46"/>
      <c r="K2474" s="46"/>
    </row>
    <row r="2475" spans="1:11">
      <c r="A2475" s="45"/>
      <c r="B2475" s="45"/>
      <c r="C2475" s="45"/>
      <c r="D2475" s="46"/>
      <c r="E2475" s="46"/>
      <c r="F2475" s="46"/>
      <c r="G2475" s="46"/>
      <c r="H2475" s="46"/>
      <c r="I2475" s="46"/>
      <c r="J2475" s="46"/>
      <c r="K2475" s="46"/>
    </row>
    <row r="2476" spans="1:11">
      <c r="A2476" s="45"/>
      <c r="B2476" s="45"/>
      <c r="C2476" s="45"/>
      <c r="D2476" s="46"/>
      <c r="E2476" s="46"/>
      <c r="F2476" s="46"/>
      <c r="G2476" s="46"/>
      <c r="H2476" s="46"/>
      <c r="I2476" s="46"/>
      <c r="J2476" s="46"/>
      <c r="K2476" s="46"/>
    </row>
    <row r="2477" spans="1:11">
      <c r="A2477" s="45"/>
      <c r="B2477" s="45"/>
      <c r="C2477" s="45"/>
      <c r="D2477" s="46"/>
      <c r="E2477" s="46"/>
      <c r="F2477" s="46"/>
      <c r="G2477" s="46"/>
      <c r="H2477" s="46"/>
      <c r="I2477" s="46"/>
      <c r="J2477" s="46"/>
      <c r="K2477" s="46"/>
    </row>
    <row r="2478" spans="1:11">
      <c r="A2478" s="45"/>
      <c r="B2478" s="45"/>
      <c r="C2478" s="45"/>
      <c r="D2478" s="46"/>
      <c r="E2478" s="46"/>
      <c r="F2478" s="46"/>
      <c r="G2478" s="46"/>
      <c r="H2478" s="46"/>
      <c r="I2478" s="46"/>
      <c r="J2478" s="46"/>
      <c r="K2478" s="46"/>
    </row>
    <row r="2479" spans="1:11">
      <c r="A2479" s="45"/>
      <c r="B2479" s="45"/>
      <c r="C2479" s="45"/>
      <c r="D2479" s="46"/>
      <c r="E2479" s="46"/>
      <c r="F2479" s="46"/>
      <c r="G2479" s="46"/>
      <c r="H2479" s="46"/>
      <c r="I2479" s="46"/>
      <c r="J2479" s="46"/>
      <c r="K2479" s="46"/>
    </row>
    <row r="2480" spans="1:11">
      <c r="A2480" s="45"/>
      <c r="B2480" s="45"/>
      <c r="C2480" s="45"/>
      <c r="D2480" s="46"/>
      <c r="E2480" s="46"/>
      <c r="F2480" s="46"/>
      <c r="G2480" s="46"/>
      <c r="H2480" s="46"/>
      <c r="I2480" s="46"/>
      <c r="J2480" s="46"/>
      <c r="K2480" s="46"/>
    </row>
    <row r="2481" spans="1:11">
      <c r="A2481" s="45"/>
      <c r="B2481" s="45"/>
      <c r="C2481" s="45"/>
      <c r="D2481" s="46"/>
      <c r="E2481" s="46"/>
      <c r="F2481" s="46"/>
      <c r="G2481" s="46"/>
      <c r="H2481" s="46"/>
      <c r="I2481" s="46"/>
      <c r="J2481" s="46"/>
      <c r="K2481" s="46"/>
    </row>
    <row r="2482" spans="1:11">
      <c r="A2482" s="45"/>
      <c r="B2482" s="45"/>
      <c r="C2482" s="45"/>
      <c r="D2482" s="46"/>
      <c r="E2482" s="46"/>
      <c r="F2482" s="46"/>
      <c r="G2482" s="46"/>
      <c r="H2482" s="46"/>
      <c r="I2482" s="46"/>
      <c r="J2482" s="46"/>
      <c r="K2482" s="46"/>
    </row>
    <row r="2483" spans="1:11">
      <c r="A2483" s="45"/>
      <c r="B2483" s="45"/>
      <c r="C2483" s="45"/>
      <c r="D2483" s="46"/>
      <c r="E2483" s="46"/>
      <c r="F2483" s="46"/>
      <c r="G2483" s="46"/>
      <c r="H2483" s="46"/>
      <c r="I2483" s="46"/>
      <c r="J2483" s="46"/>
      <c r="K2483" s="46"/>
    </row>
    <row r="2484" spans="1:11">
      <c r="A2484" s="45"/>
      <c r="B2484" s="45"/>
      <c r="C2484" s="45"/>
      <c r="D2484" s="46"/>
      <c r="E2484" s="46"/>
      <c r="F2484" s="46"/>
      <c r="G2484" s="46"/>
      <c r="H2484" s="46"/>
      <c r="I2484" s="46"/>
      <c r="J2484" s="46"/>
      <c r="K2484" s="46"/>
    </row>
    <row r="2485" spans="1:11">
      <c r="A2485" s="45"/>
      <c r="B2485" s="45"/>
      <c r="C2485" s="45"/>
      <c r="D2485" s="46"/>
      <c r="E2485" s="46"/>
      <c r="F2485" s="46"/>
      <c r="G2485" s="46"/>
      <c r="H2485" s="46"/>
      <c r="I2485" s="46"/>
      <c r="J2485" s="46"/>
      <c r="K2485" s="46"/>
    </row>
    <row r="2486" spans="1:11">
      <c r="A2486" s="45"/>
      <c r="B2486" s="45"/>
      <c r="C2486" s="45"/>
      <c r="D2486" s="46"/>
      <c r="E2486" s="46"/>
      <c r="F2486" s="46"/>
      <c r="G2486" s="46"/>
      <c r="H2486" s="46"/>
      <c r="I2486" s="46"/>
      <c r="J2486" s="46"/>
      <c r="K2486" s="46"/>
    </row>
    <row r="2487" spans="1:11">
      <c r="A2487" s="45"/>
      <c r="B2487" s="45"/>
      <c r="C2487" s="45"/>
      <c r="D2487" s="46"/>
      <c r="E2487" s="46"/>
      <c r="F2487" s="46"/>
      <c r="G2487" s="46"/>
      <c r="H2487" s="46"/>
      <c r="I2487" s="46"/>
      <c r="J2487" s="46"/>
      <c r="K2487" s="46"/>
    </row>
    <row r="2488" spans="1:11">
      <c r="A2488" s="45"/>
      <c r="B2488" s="45"/>
      <c r="C2488" s="45"/>
      <c r="D2488" s="46"/>
      <c r="E2488" s="46"/>
      <c r="F2488" s="46"/>
      <c r="G2488" s="46"/>
      <c r="H2488" s="46"/>
      <c r="I2488" s="46"/>
      <c r="J2488" s="46"/>
      <c r="K2488" s="46"/>
    </row>
    <row r="2489" spans="1:11">
      <c r="A2489" s="45"/>
      <c r="B2489" s="45"/>
      <c r="C2489" s="45"/>
      <c r="D2489" s="46"/>
      <c r="E2489" s="46"/>
      <c r="F2489" s="46"/>
      <c r="G2489" s="46"/>
      <c r="H2489" s="46"/>
      <c r="I2489" s="46"/>
      <c r="J2489" s="46"/>
      <c r="K2489" s="46"/>
    </row>
    <row r="2490" spans="1:11">
      <c r="A2490" s="45"/>
      <c r="B2490" s="45"/>
      <c r="C2490" s="45"/>
      <c r="D2490" s="46"/>
      <c r="E2490" s="46"/>
      <c r="F2490" s="46"/>
      <c r="G2490" s="46"/>
      <c r="H2490" s="46"/>
      <c r="I2490" s="46"/>
      <c r="J2490" s="46"/>
      <c r="K2490" s="46"/>
    </row>
    <row r="2491" spans="1:11">
      <c r="A2491" s="45"/>
      <c r="B2491" s="45"/>
      <c r="C2491" s="45"/>
      <c r="D2491" s="46"/>
      <c r="E2491" s="46"/>
      <c r="F2491" s="46"/>
      <c r="G2491" s="46"/>
      <c r="H2491" s="46"/>
      <c r="I2491" s="46"/>
      <c r="J2491" s="46"/>
      <c r="K2491" s="46"/>
    </row>
    <row r="2492" spans="1:11">
      <c r="A2492" s="45"/>
      <c r="B2492" s="45"/>
      <c r="C2492" s="45"/>
      <c r="D2492" s="46"/>
      <c r="E2492" s="46"/>
      <c r="F2492" s="46"/>
      <c r="G2492" s="46"/>
      <c r="H2492" s="46"/>
      <c r="I2492" s="46"/>
      <c r="J2492" s="46"/>
      <c r="K2492" s="46"/>
    </row>
    <row r="2493" spans="1:11">
      <c r="A2493" s="45"/>
      <c r="B2493" s="45"/>
      <c r="C2493" s="45"/>
      <c r="D2493" s="46"/>
      <c r="E2493" s="46"/>
      <c r="F2493" s="46"/>
      <c r="G2493" s="46"/>
      <c r="H2493" s="46"/>
      <c r="I2493" s="46"/>
      <c r="J2493" s="46"/>
      <c r="K2493" s="46"/>
    </row>
    <row r="2494" spans="1:11">
      <c r="A2494" s="45"/>
      <c r="B2494" s="45"/>
      <c r="C2494" s="45"/>
      <c r="D2494" s="46"/>
      <c r="E2494" s="46"/>
      <c r="F2494" s="46"/>
      <c r="G2494" s="46"/>
      <c r="H2494" s="46"/>
      <c r="I2494" s="46"/>
      <c r="J2494" s="46"/>
      <c r="K2494" s="46"/>
    </row>
    <row r="2495" spans="1:11">
      <c r="A2495" s="45"/>
      <c r="B2495" s="45"/>
      <c r="C2495" s="45"/>
      <c r="D2495" s="46"/>
      <c r="E2495" s="46"/>
      <c r="F2495" s="46"/>
      <c r="G2495" s="46"/>
      <c r="H2495" s="46"/>
      <c r="I2495" s="46"/>
      <c r="J2495" s="46"/>
      <c r="K2495" s="46"/>
    </row>
    <row r="2496" spans="1:11">
      <c r="A2496" s="45"/>
      <c r="B2496" s="45"/>
      <c r="C2496" s="45"/>
      <c r="D2496" s="46"/>
      <c r="E2496" s="46"/>
      <c r="F2496" s="46"/>
      <c r="G2496" s="46"/>
      <c r="H2496" s="46"/>
      <c r="I2496" s="46"/>
      <c r="J2496" s="46"/>
      <c r="K2496" s="46"/>
    </row>
    <row r="2497" spans="1:11">
      <c r="A2497" s="45"/>
      <c r="B2497" s="45"/>
      <c r="C2497" s="45"/>
      <c r="D2497" s="46"/>
      <c r="E2497" s="46"/>
      <c r="F2497" s="46"/>
      <c r="G2497" s="46"/>
      <c r="H2497" s="46"/>
      <c r="I2497" s="46"/>
      <c r="J2497" s="46"/>
      <c r="K2497" s="46"/>
    </row>
    <row r="2498" spans="1:11">
      <c r="A2498" s="45"/>
      <c r="B2498" s="45"/>
      <c r="C2498" s="45"/>
      <c r="D2498" s="46"/>
      <c r="E2498" s="46"/>
      <c r="F2498" s="46"/>
      <c r="G2498" s="46"/>
      <c r="H2498" s="46"/>
      <c r="I2498" s="46"/>
      <c r="J2498" s="46"/>
      <c r="K2498" s="46"/>
    </row>
    <row r="2499" spans="1:11">
      <c r="A2499" s="45"/>
      <c r="B2499" s="45"/>
      <c r="C2499" s="45"/>
      <c r="D2499" s="46"/>
      <c r="E2499" s="46"/>
      <c r="F2499" s="46"/>
      <c r="G2499" s="46"/>
      <c r="H2499" s="46"/>
      <c r="I2499" s="46"/>
      <c r="J2499" s="46"/>
      <c r="K2499" s="46"/>
    </row>
    <row r="2500" spans="1:11">
      <c r="A2500" s="45"/>
      <c r="B2500" s="45"/>
      <c r="C2500" s="45"/>
      <c r="D2500" s="46"/>
      <c r="E2500" s="46"/>
      <c r="F2500" s="46"/>
      <c r="G2500" s="46"/>
      <c r="H2500" s="46"/>
      <c r="I2500" s="46"/>
      <c r="J2500" s="46"/>
      <c r="K2500" s="46"/>
    </row>
    <row r="2501" spans="1:11">
      <c r="A2501" s="45"/>
      <c r="B2501" s="45"/>
      <c r="C2501" s="45"/>
      <c r="D2501" s="46"/>
      <c r="E2501" s="46"/>
      <c r="F2501" s="46"/>
      <c r="G2501" s="46"/>
      <c r="H2501" s="46"/>
      <c r="I2501" s="46"/>
      <c r="J2501" s="46"/>
      <c r="K2501" s="46"/>
    </row>
    <row r="2502" spans="1:11">
      <c r="A2502" s="45"/>
      <c r="B2502" s="45"/>
      <c r="C2502" s="45"/>
      <c r="D2502" s="46"/>
      <c r="E2502" s="46"/>
      <c r="F2502" s="46"/>
      <c r="G2502" s="46"/>
      <c r="H2502" s="46"/>
      <c r="I2502" s="46"/>
      <c r="J2502" s="46"/>
      <c r="K2502" s="46"/>
    </row>
    <row r="2503" spans="1:11">
      <c r="A2503" s="45"/>
      <c r="B2503" s="45"/>
      <c r="C2503" s="45"/>
      <c r="D2503" s="46"/>
      <c r="E2503" s="46"/>
      <c r="F2503" s="46"/>
      <c r="G2503" s="46"/>
      <c r="H2503" s="46"/>
      <c r="I2503" s="46"/>
      <c r="J2503" s="46"/>
      <c r="K2503" s="46"/>
    </row>
    <row r="2504" spans="1:11">
      <c r="A2504" s="45"/>
      <c r="B2504" s="45"/>
      <c r="C2504" s="45"/>
      <c r="D2504" s="46"/>
      <c r="E2504" s="46"/>
      <c r="F2504" s="46"/>
      <c r="G2504" s="46"/>
      <c r="H2504" s="46"/>
      <c r="I2504" s="46"/>
      <c r="J2504" s="46"/>
      <c r="K2504" s="46"/>
    </row>
    <row r="2505" spans="1:11">
      <c r="A2505" s="45"/>
      <c r="B2505" s="45"/>
      <c r="C2505" s="45"/>
      <c r="D2505" s="46"/>
      <c r="E2505" s="46"/>
      <c r="F2505" s="46"/>
      <c r="G2505" s="46"/>
      <c r="H2505" s="46"/>
      <c r="I2505" s="46"/>
      <c r="J2505" s="46"/>
      <c r="K2505" s="46"/>
    </row>
    <row r="2506" spans="1:11">
      <c r="A2506" s="45"/>
      <c r="B2506" s="45"/>
      <c r="C2506" s="45"/>
      <c r="D2506" s="46"/>
      <c r="E2506" s="46"/>
      <c r="F2506" s="46"/>
      <c r="G2506" s="46"/>
      <c r="H2506" s="46"/>
      <c r="I2506" s="46"/>
      <c r="J2506" s="46"/>
      <c r="K2506" s="46"/>
    </row>
    <row r="2507" spans="1:11">
      <c r="A2507" s="45"/>
      <c r="B2507" s="45"/>
      <c r="C2507" s="45"/>
      <c r="D2507" s="46"/>
      <c r="E2507" s="46"/>
      <c r="F2507" s="46"/>
      <c r="G2507" s="46"/>
      <c r="H2507" s="46"/>
      <c r="I2507" s="46"/>
      <c r="J2507" s="46"/>
      <c r="K2507" s="46"/>
    </row>
    <row r="2508" spans="1:11">
      <c r="A2508" s="45"/>
      <c r="B2508" s="45"/>
      <c r="C2508" s="45"/>
      <c r="D2508" s="46"/>
      <c r="E2508" s="46"/>
      <c r="F2508" s="46"/>
      <c r="G2508" s="46"/>
      <c r="H2508" s="46"/>
      <c r="I2508" s="46"/>
      <c r="J2508" s="46"/>
      <c r="K2508" s="46"/>
    </row>
    <row r="2509" spans="1:11">
      <c r="A2509" s="45"/>
      <c r="B2509" s="45"/>
      <c r="C2509" s="45"/>
      <c r="D2509" s="46"/>
      <c r="E2509" s="46"/>
      <c r="F2509" s="46"/>
      <c r="G2509" s="46"/>
      <c r="H2509" s="46"/>
      <c r="I2509" s="46"/>
      <c r="J2509" s="46"/>
      <c r="K2509" s="46"/>
    </row>
    <row r="2510" spans="1:11">
      <c r="A2510" s="45"/>
      <c r="B2510" s="45"/>
      <c r="C2510" s="45"/>
      <c r="D2510" s="46"/>
      <c r="E2510" s="46"/>
      <c r="F2510" s="46"/>
      <c r="G2510" s="46"/>
      <c r="H2510" s="46"/>
      <c r="I2510" s="46"/>
      <c r="J2510" s="46"/>
      <c r="K2510" s="46"/>
    </row>
    <row r="2511" spans="1:11">
      <c r="A2511" s="45"/>
      <c r="B2511" s="45"/>
      <c r="C2511" s="45"/>
      <c r="D2511" s="46"/>
      <c r="E2511" s="46"/>
      <c r="F2511" s="46"/>
      <c r="G2511" s="46"/>
      <c r="H2511" s="46"/>
      <c r="I2511" s="46"/>
      <c r="J2511" s="46"/>
      <c r="K2511" s="46"/>
    </row>
    <row r="2512" spans="1:11">
      <c r="A2512" s="45"/>
      <c r="B2512" s="45"/>
      <c r="C2512" s="45"/>
      <c r="D2512" s="46"/>
      <c r="E2512" s="46"/>
      <c r="F2512" s="46"/>
      <c r="G2512" s="46"/>
      <c r="H2512" s="46"/>
      <c r="I2512" s="46"/>
      <c r="J2512" s="46"/>
      <c r="K2512" s="46"/>
    </row>
    <row r="2513" spans="1:11">
      <c r="A2513" s="45"/>
      <c r="B2513" s="45"/>
      <c r="C2513" s="45"/>
      <c r="D2513" s="46"/>
      <c r="E2513" s="46"/>
      <c r="F2513" s="46"/>
      <c r="G2513" s="46"/>
      <c r="H2513" s="46"/>
      <c r="I2513" s="46"/>
      <c r="J2513" s="46"/>
      <c r="K2513" s="46"/>
    </row>
    <row r="2514" spans="1:11">
      <c r="A2514" s="45"/>
      <c r="B2514" s="45"/>
      <c r="C2514" s="45"/>
      <c r="D2514" s="46"/>
      <c r="E2514" s="46"/>
      <c r="F2514" s="46"/>
      <c r="G2514" s="46"/>
      <c r="H2514" s="46"/>
      <c r="I2514" s="46"/>
      <c r="J2514" s="46"/>
      <c r="K2514" s="46"/>
    </row>
    <row r="2515" spans="1:11">
      <c r="A2515" s="45"/>
      <c r="B2515" s="45"/>
      <c r="C2515" s="45"/>
      <c r="D2515" s="46"/>
      <c r="E2515" s="46"/>
      <c r="F2515" s="46"/>
      <c r="G2515" s="46"/>
      <c r="H2515" s="46"/>
      <c r="I2515" s="46"/>
      <c r="J2515" s="46"/>
      <c r="K2515" s="46"/>
    </row>
    <row r="2516" spans="1:11">
      <c r="A2516" s="45"/>
      <c r="B2516" s="45"/>
      <c r="C2516" s="45"/>
      <c r="D2516" s="46"/>
      <c r="E2516" s="46"/>
      <c r="F2516" s="46"/>
      <c r="G2516" s="46"/>
      <c r="H2516" s="46"/>
      <c r="I2516" s="46"/>
      <c r="J2516" s="46"/>
      <c r="K2516" s="46"/>
    </row>
    <row r="2517" spans="1:11">
      <c r="A2517" s="45"/>
      <c r="B2517" s="45"/>
      <c r="C2517" s="45"/>
      <c r="D2517" s="46"/>
      <c r="E2517" s="46"/>
      <c r="F2517" s="46"/>
      <c r="G2517" s="46"/>
      <c r="H2517" s="46"/>
      <c r="I2517" s="46"/>
      <c r="J2517" s="46"/>
      <c r="K2517" s="46"/>
    </row>
    <row r="2518" spans="1:11">
      <c r="A2518" s="45"/>
      <c r="B2518" s="45"/>
      <c r="C2518" s="45"/>
      <c r="D2518" s="46"/>
      <c r="E2518" s="46"/>
      <c r="F2518" s="46"/>
      <c r="G2518" s="46"/>
      <c r="H2518" s="46"/>
      <c r="I2518" s="46"/>
      <c r="J2518" s="46"/>
      <c r="K2518" s="46"/>
    </row>
    <row r="2519" spans="1:11">
      <c r="A2519" s="45"/>
      <c r="B2519" s="45"/>
      <c r="C2519" s="45"/>
      <c r="D2519" s="46"/>
      <c r="E2519" s="46"/>
      <c r="F2519" s="46"/>
      <c r="G2519" s="46"/>
      <c r="H2519" s="46"/>
      <c r="I2519" s="46"/>
      <c r="J2519" s="46"/>
      <c r="K2519" s="46"/>
    </row>
    <row r="2520" spans="1:11">
      <c r="A2520" s="45"/>
      <c r="B2520" s="45"/>
      <c r="C2520" s="45"/>
      <c r="D2520" s="46"/>
      <c r="E2520" s="46"/>
      <c r="F2520" s="46"/>
      <c r="G2520" s="46"/>
      <c r="H2520" s="46"/>
      <c r="I2520" s="46"/>
      <c r="J2520" s="46"/>
      <c r="K2520" s="46"/>
    </row>
    <row r="2521" spans="1:11">
      <c r="A2521" s="45"/>
      <c r="B2521" s="45"/>
      <c r="C2521" s="45"/>
      <c r="D2521" s="46"/>
      <c r="E2521" s="46"/>
      <c r="F2521" s="46"/>
      <c r="G2521" s="46"/>
      <c r="H2521" s="46"/>
      <c r="I2521" s="46"/>
      <c r="J2521" s="46"/>
      <c r="K2521" s="46"/>
    </row>
    <row r="2522" spans="1:11">
      <c r="A2522" s="45"/>
      <c r="B2522" s="45"/>
      <c r="C2522" s="45"/>
      <c r="D2522" s="46"/>
      <c r="E2522" s="46"/>
      <c r="F2522" s="46"/>
      <c r="G2522" s="46"/>
      <c r="H2522" s="46"/>
      <c r="I2522" s="46"/>
      <c r="J2522" s="46"/>
      <c r="K2522" s="46"/>
    </row>
    <row r="2523" spans="1:11">
      <c r="A2523" s="45"/>
      <c r="B2523" s="45"/>
      <c r="C2523" s="45"/>
      <c r="D2523" s="46"/>
      <c r="E2523" s="46"/>
      <c r="F2523" s="46"/>
      <c r="G2523" s="46"/>
      <c r="H2523" s="46"/>
      <c r="I2523" s="46"/>
      <c r="J2523" s="46"/>
      <c r="K2523" s="46"/>
    </row>
    <row r="2524" spans="1:11">
      <c r="A2524" s="45"/>
      <c r="B2524" s="45"/>
      <c r="C2524" s="45"/>
      <c r="D2524" s="46"/>
      <c r="E2524" s="46"/>
      <c r="F2524" s="46"/>
      <c r="G2524" s="46"/>
      <c r="H2524" s="46"/>
      <c r="I2524" s="46"/>
      <c r="J2524" s="46"/>
      <c r="K2524" s="46"/>
    </row>
    <row r="2525" spans="1:11">
      <c r="A2525" s="45"/>
      <c r="B2525" s="45"/>
      <c r="C2525" s="45"/>
      <c r="D2525" s="46"/>
      <c r="E2525" s="46"/>
      <c r="F2525" s="46"/>
      <c r="G2525" s="46"/>
      <c r="H2525" s="46"/>
      <c r="I2525" s="46"/>
      <c r="J2525" s="46"/>
      <c r="K2525" s="46"/>
    </row>
    <row r="2526" spans="1:11">
      <c r="A2526" s="45"/>
      <c r="B2526" s="45"/>
      <c r="C2526" s="45"/>
      <c r="D2526" s="46"/>
      <c r="E2526" s="46"/>
      <c r="F2526" s="46"/>
      <c r="G2526" s="46"/>
      <c r="H2526" s="46"/>
      <c r="I2526" s="46"/>
      <c r="J2526" s="46"/>
      <c r="K2526" s="46"/>
    </row>
    <row r="2527" spans="1:11">
      <c r="A2527" s="45"/>
      <c r="B2527" s="45"/>
      <c r="C2527" s="45"/>
      <c r="D2527" s="46"/>
      <c r="E2527" s="46"/>
      <c r="F2527" s="46"/>
      <c r="G2527" s="46"/>
      <c r="H2527" s="46"/>
      <c r="I2527" s="46"/>
      <c r="J2527" s="46"/>
      <c r="K2527" s="46"/>
    </row>
    <row r="2528" spans="1:11">
      <c r="A2528" s="45"/>
      <c r="B2528" s="45"/>
      <c r="C2528" s="45"/>
      <c r="D2528" s="46"/>
      <c r="E2528" s="46"/>
      <c r="F2528" s="46"/>
      <c r="G2528" s="46"/>
      <c r="H2528" s="46"/>
      <c r="I2528" s="46"/>
      <c r="J2528" s="46"/>
      <c r="K2528" s="46"/>
    </row>
    <row r="2529" spans="1:11">
      <c r="A2529" s="45"/>
      <c r="B2529" s="45"/>
      <c r="C2529" s="45"/>
      <c r="D2529" s="46"/>
      <c r="E2529" s="46"/>
      <c r="F2529" s="46"/>
      <c r="G2529" s="46"/>
      <c r="H2529" s="46"/>
      <c r="I2529" s="46"/>
      <c r="J2529" s="46"/>
      <c r="K2529" s="46"/>
    </row>
    <row r="2530" spans="1:11">
      <c r="A2530" s="45"/>
      <c r="B2530" s="45"/>
      <c r="C2530" s="45"/>
      <c r="D2530" s="46"/>
      <c r="E2530" s="46"/>
      <c r="F2530" s="46"/>
      <c r="G2530" s="46"/>
      <c r="H2530" s="46"/>
      <c r="I2530" s="46"/>
      <c r="J2530" s="46"/>
      <c r="K2530" s="46"/>
    </row>
    <row r="2531" spans="1:11">
      <c r="A2531" s="45"/>
      <c r="B2531" s="45"/>
      <c r="C2531" s="45"/>
      <c r="D2531" s="46"/>
      <c r="E2531" s="46"/>
      <c r="F2531" s="46"/>
      <c r="G2531" s="46"/>
      <c r="H2531" s="46"/>
      <c r="I2531" s="46"/>
      <c r="J2531" s="46"/>
      <c r="K2531" s="46"/>
    </row>
    <row r="2532" spans="1:11">
      <c r="A2532" s="45"/>
      <c r="B2532" s="45"/>
      <c r="C2532" s="45"/>
      <c r="D2532" s="46"/>
      <c r="E2532" s="46"/>
      <c r="F2532" s="46"/>
      <c r="G2532" s="46"/>
      <c r="H2532" s="46"/>
      <c r="I2532" s="46"/>
      <c r="J2532" s="46"/>
      <c r="K2532" s="46"/>
    </row>
    <row r="2533" spans="1:11">
      <c r="A2533" s="45"/>
      <c r="B2533" s="45"/>
      <c r="C2533" s="45"/>
      <c r="D2533" s="46"/>
      <c r="E2533" s="46"/>
      <c r="F2533" s="46"/>
      <c r="G2533" s="46"/>
      <c r="H2533" s="46"/>
      <c r="I2533" s="46"/>
      <c r="J2533" s="46"/>
      <c r="K2533" s="46"/>
    </row>
    <row r="2534" spans="1:11">
      <c r="A2534" s="45"/>
      <c r="B2534" s="45"/>
      <c r="C2534" s="45"/>
      <c r="D2534" s="46"/>
      <c r="E2534" s="46"/>
      <c r="F2534" s="46"/>
      <c r="G2534" s="46"/>
      <c r="H2534" s="46"/>
      <c r="I2534" s="46"/>
      <c r="J2534" s="46"/>
      <c r="K2534" s="46"/>
    </row>
    <row r="2535" spans="1:11">
      <c r="A2535" s="45"/>
      <c r="B2535" s="45"/>
      <c r="C2535" s="45"/>
      <c r="D2535" s="46"/>
      <c r="E2535" s="46"/>
      <c r="F2535" s="46"/>
      <c r="G2535" s="46"/>
      <c r="H2535" s="46"/>
      <c r="I2535" s="46"/>
      <c r="J2535" s="46"/>
      <c r="K2535" s="46"/>
    </row>
    <row r="2536" spans="1:11">
      <c r="A2536" s="45"/>
      <c r="B2536" s="45"/>
      <c r="C2536" s="45"/>
      <c r="D2536" s="46"/>
      <c r="E2536" s="46"/>
      <c r="F2536" s="46"/>
      <c r="G2536" s="46"/>
      <c r="H2536" s="46"/>
      <c r="I2536" s="46"/>
      <c r="J2536" s="46"/>
      <c r="K2536" s="46"/>
    </row>
    <row r="2537" spans="1:11">
      <c r="A2537" s="45"/>
      <c r="B2537" s="45"/>
      <c r="C2537" s="45"/>
      <c r="D2537" s="46"/>
      <c r="E2537" s="46"/>
      <c r="F2537" s="46"/>
      <c r="G2537" s="46"/>
      <c r="H2537" s="46"/>
      <c r="I2537" s="46"/>
      <c r="J2537" s="46"/>
      <c r="K2537" s="46"/>
    </row>
    <row r="2538" spans="1:11">
      <c r="A2538" s="45"/>
      <c r="B2538" s="45"/>
      <c r="C2538" s="45"/>
      <c r="D2538" s="46"/>
      <c r="E2538" s="46"/>
      <c r="F2538" s="46"/>
      <c r="G2538" s="46"/>
      <c r="H2538" s="46"/>
      <c r="I2538" s="46"/>
      <c r="J2538" s="46"/>
      <c r="K2538" s="46"/>
    </row>
    <row r="2539" spans="1:11">
      <c r="A2539" s="45"/>
      <c r="B2539" s="45"/>
      <c r="C2539" s="45"/>
      <c r="D2539" s="46"/>
      <c r="E2539" s="46"/>
      <c r="F2539" s="46"/>
      <c r="G2539" s="46"/>
      <c r="H2539" s="46"/>
      <c r="I2539" s="46"/>
      <c r="J2539" s="46"/>
      <c r="K2539" s="46"/>
    </row>
    <row r="2540" spans="1:11">
      <c r="A2540" s="45"/>
      <c r="B2540" s="45"/>
      <c r="C2540" s="45"/>
      <c r="D2540" s="46"/>
      <c r="E2540" s="46"/>
      <c r="F2540" s="46"/>
      <c r="G2540" s="46"/>
      <c r="H2540" s="46"/>
      <c r="I2540" s="46"/>
      <c r="J2540" s="46"/>
      <c r="K2540" s="46"/>
    </row>
    <row r="2541" spans="1:11">
      <c r="A2541" s="45"/>
      <c r="B2541" s="45"/>
      <c r="C2541" s="45"/>
      <c r="D2541" s="46"/>
      <c r="E2541" s="46"/>
      <c r="F2541" s="46"/>
      <c r="G2541" s="46"/>
      <c r="H2541" s="46"/>
      <c r="I2541" s="46"/>
      <c r="J2541" s="46"/>
      <c r="K2541" s="46"/>
    </row>
    <row r="2542" spans="1:11">
      <c r="A2542" s="45"/>
      <c r="B2542" s="45"/>
      <c r="C2542" s="45"/>
      <c r="D2542" s="46"/>
      <c r="E2542" s="46"/>
      <c r="F2542" s="46"/>
      <c r="G2542" s="46"/>
      <c r="H2542" s="46"/>
      <c r="I2542" s="46"/>
      <c r="J2542" s="46"/>
      <c r="K2542" s="46"/>
    </row>
    <row r="2543" spans="1:11">
      <c r="A2543" s="45"/>
      <c r="B2543" s="45"/>
      <c r="C2543" s="45"/>
      <c r="D2543" s="46"/>
      <c r="E2543" s="46"/>
      <c r="F2543" s="46"/>
      <c r="G2543" s="46"/>
      <c r="H2543" s="46"/>
      <c r="I2543" s="46"/>
      <c r="J2543" s="46"/>
      <c r="K2543" s="46"/>
    </row>
    <row r="2544" spans="1:11">
      <c r="A2544" s="45"/>
      <c r="B2544" s="45"/>
      <c r="C2544" s="45"/>
      <c r="D2544" s="46"/>
      <c r="E2544" s="46"/>
      <c r="F2544" s="46"/>
      <c r="G2544" s="46"/>
      <c r="H2544" s="46"/>
      <c r="I2544" s="46"/>
      <c r="J2544" s="46"/>
      <c r="K2544" s="46"/>
    </row>
    <row r="2545" spans="1:11">
      <c r="A2545" s="45"/>
      <c r="B2545" s="45"/>
      <c r="C2545" s="45"/>
      <c r="D2545" s="46"/>
      <c r="E2545" s="46"/>
      <c r="F2545" s="46"/>
      <c r="G2545" s="46"/>
      <c r="H2545" s="46"/>
      <c r="I2545" s="46"/>
      <c r="J2545" s="46"/>
      <c r="K2545" s="46"/>
    </row>
    <row r="2546" spans="1:11">
      <c r="A2546" s="45"/>
      <c r="B2546" s="45"/>
      <c r="C2546" s="45"/>
      <c r="D2546" s="46"/>
      <c r="E2546" s="46"/>
      <c r="F2546" s="46"/>
      <c r="G2546" s="46"/>
      <c r="H2546" s="46"/>
      <c r="I2546" s="46"/>
      <c r="J2546" s="46"/>
      <c r="K2546" s="46"/>
    </row>
    <row r="2547" spans="1:11">
      <c r="A2547" s="45"/>
      <c r="B2547" s="45"/>
      <c r="C2547" s="45"/>
      <c r="D2547" s="46"/>
      <c r="E2547" s="46"/>
      <c r="F2547" s="46"/>
      <c r="G2547" s="46"/>
      <c r="H2547" s="46"/>
      <c r="I2547" s="46"/>
      <c r="J2547" s="46"/>
      <c r="K2547" s="46"/>
    </row>
    <row r="2548" spans="1:11">
      <c r="A2548" s="45"/>
      <c r="B2548" s="45"/>
      <c r="C2548" s="45"/>
      <c r="D2548" s="46"/>
      <c r="E2548" s="46"/>
      <c r="F2548" s="46"/>
      <c r="G2548" s="46"/>
      <c r="H2548" s="46"/>
      <c r="I2548" s="46"/>
      <c r="J2548" s="46"/>
      <c r="K2548" s="46"/>
    </row>
    <row r="2549" spans="1:11">
      <c r="A2549" s="45"/>
      <c r="B2549" s="45"/>
      <c r="C2549" s="45"/>
      <c r="D2549" s="46"/>
      <c r="E2549" s="46"/>
      <c r="F2549" s="46"/>
      <c r="G2549" s="46"/>
      <c r="H2549" s="46"/>
      <c r="I2549" s="46"/>
      <c r="J2549" s="46"/>
      <c r="K2549" s="46"/>
    </row>
    <row r="2550" spans="1:11">
      <c r="A2550" s="45"/>
      <c r="B2550" s="45"/>
      <c r="C2550" s="45"/>
      <c r="D2550" s="46"/>
      <c r="E2550" s="46"/>
      <c r="F2550" s="46"/>
      <c r="G2550" s="46"/>
      <c r="H2550" s="46"/>
      <c r="I2550" s="46"/>
      <c r="J2550" s="46"/>
      <c r="K2550" s="46"/>
    </row>
    <row r="2551" spans="1:11">
      <c r="A2551" s="45"/>
      <c r="B2551" s="45"/>
      <c r="C2551" s="45"/>
      <c r="D2551" s="46"/>
      <c r="E2551" s="46"/>
      <c r="F2551" s="46"/>
      <c r="G2551" s="46"/>
      <c r="H2551" s="46"/>
      <c r="I2551" s="46"/>
      <c r="J2551" s="46"/>
      <c r="K2551" s="46"/>
    </row>
    <row r="2552" spans="1:11">
      <c r="A2552" s="45"/>
      <c r="B2552" s="45"/>
      <c r="C2552" s="45"/>
      <c r="D2552" s="46"/>
      <c r="E2552" s="46"/>
      <c r="F2552" s="46"/>
      <c r="G2552" s="46"/>
      <c r="H2552" s="46"/>
      <c r="I2552" s="46"/>
      <c r="J2552" s="46"/>
      <c r="K2552" s="46"/>
    </row>
    <row r="2553" spans="1:11">
      <c r="A2553" s="45"/>
      <c r="B2553" s="45"/>
      <c r="C2553" s="45"/>
      <c r="D2553" s="46"/>
      <c r="E2553" s="46"/>
      <c r="F2553" s="46"/>
      <c r="G2553" s="46"/>
      <c r="H2553" s="46"/>
      <c r="I2553" s="46"/>
      <c r="J2553" s="46"/>
      <c r="K2553" s="46"/>
    </row>
    <row r="2554" spans="1:11">
      <c r="A2554" s="45"/>
      <c r="B2554" s="45"/>
      <c r="C2554" s="45"/>
      <c r="D2554" s="46"/>
      <c r="E2554" s="46"/>
      <c r="F2554" s="46"/>
      <c r="G2554" s="46"/>
      <c r="H2554" s="46"/>
      <c r="I2554" s="46"/>
      <c r="J2554" s="46"/>
      <c r="K2554" s="46"/>
    </row>
    <row r="2555" spans="1:11">
      <c r="A2555" s="45"/>
      <c r="B2555" s="45"/>
      <c r="C2555" s="45"/>
      <c r="D2555" s="46"/>
      <c r="E2555" s="46"/>
      <c r="F2555" s="46"/>
      <c r="G2555" s="46"/>
      <c r="H2555" s="46"/>
      <c r="I2555" s="46"/>
      <c r="J2555" s="46"/>
      <c r="K2555" s="46"/>
    </row>
    <row r="2556" spans="1:11">
      <c r="A2556" s="45"/>
      <c r="B2556" s="45"/>
      <c r="C2556" s="45"/>
      <c r="D2556" s="46"/>
      <c r="E2556" s="46"/>
      <c r="F2556" s="46"/>
      <c r="G2556" s="46"/>
      <c r="H2556" s="46"/>
      <c r="I2556" s="46"/>
      <c r="J2556" s="46"/>
      <c r="K2556" s="46"/>
    </row>
    <row r="2557" spans="1:11">
      <c r="A2557" s="45"/>
      <c r="B2557" s="45"/>
      <c r="C2557" s="45"/>
      <c r="D2557" s="46"/>
      <c r="E2557" s="46"/>
      <c r="F2557" s="46"/>
      <c r="G2557" s="46"/>
      <c r="H2557" s="46"/>
      <c r="I2557" s="46"/>
      <c r="J2557" s="46"/>
      <c r="K2557" s="46"/>
    </row>
    <row r="2558" spans="1:11">
      <c r="A2558" s="45"/>
      <c r="B2558" s="45"/>
      <c r="C2558" s="45"/>
      <c r="D2558" s="46"/>
      <c r="E2558" s="46"/>
      <c r="F2558" s="46"/>
      <c r="G2558" s="46"/>
      <c r="H2558" s="46"/>
      <c r="I2558" s="46"/>
      <c r="J2558" s="46"/>
      <c r="K2558" s="46"/>
    </row>
    <row r="2559" spans="1:11">
      <c r="A2559" s="45"/>
      <c r="B2559" s="45"/>
      <c r="C2559" s="45"/>
      <c r="D2559" s="46"/>
      <c r="E2559" s="46"/>
      <c r="F2559" s="46"/>
      <c r="G2559" s="46"/>
      <c r="H2559" s="46"/>
      <c r="I2559" s="46"/>
      <c r="J2559" s="46"/>
      <c r="K2559" s="46"/>
    </row>
    <row r="2560" spans="1:11">
      <c r="A2560" s="45"/>
      <c r="B2560" s="45"/>
      <c r="C2560" s="45"/>
      <c r="D2560" s="46"/>
      <c r="E2560" s="46"/>
      <c r="F2560" s="46"/>
      <c r="G2560" s="46"/>
      <c r="H2560" s="46"/>
      <c r="I2560" s="46"/>
      <c r="J2560" s="46"/>
      <c r="K2560" s="46"/>
    </row>
    <row r="2561" spans="1:11">
      <c r="A2561" s="45"/>
      <c r="B2561" s="45"/>
      <c r="C2561" s="45"/>
      <c r="D2561" s="46"/>
      <c r="E2561" s="46"/>
      <c r="F2561" s="46"/>
      <c r="G2561" s="46"/>
      <c r="H2561" s="46"/>
      <c r="I2561" s="46"/>
      <c r="J2561" s="46"/>
      <c r="K2561" s="46"/>
    </row>
    <row r="2562" spans="1:11">
      <c r="A2562" s="45"/>
      <c r="B2562" s="45"/>
      <c r="C2562" s="45"/>
      <c r="D2562" s="46"/>
      <c r="E2562" s="46"/>
      <c r="F2562" s="46"/>
      <c r="G2562" s="46"/>
      <c r="H2562" s="46"/>
      <c r="I2562" s="46"/>
      <c r="J2562" s="46"/>
      <c r="K2562" s="46"/>
    </row>
    <row r="2563" spans="1:11">
      <c r="A2563" s="45"/>
      <c r="B2563" s="45"/>
      <c r="C2563" s="45"/>
      <c r="D2563" s="46"/>
      <c r="E2563" s="46"/>
      <c r="F2563" s="46"/>
      <c r="G2563" s="46"/>
      <c r="H2563" s="46"/>
      <c r="I2563" s="46"/>
      <c r="J2563" s="46"/>
      <c r="K2563" s="46"/>
    </row>
    <row r="2564" spans="1:11">
      <c r="A2564" s="45"/>
      <c r="B2564" s="45"/>
      <c r="C2564" s="45"/>
      <c r="D2564" s="46"/>
      <c r="E2564" s="46"/>
      <c r="F2564" s="46"/>
      <c r="G2564" s="46"/>
      <c r="H2564" s="46"/>
      <c r="I2564" s="46"/>
      <c r="J2564" s="46"/>
      <c r="K2564" s="46"/>
    </row>
    <row r="2565" spans="1:11">
      <c r="A2565" s="45"/>
      <c r="B2565" s="45"/>
      <c r="C2565" s="45"/>
      <c r="D2565" s="46"/>
      <c r="E2565" s="46"/>
      <c r="F2565" s="46"/>
      <c r="G2565" s="46"/>
      <c r="H2565" s="46"/>
      <c r="I2565" s="46"/>
      <c r="J2565" s="46"/>
      <c r="K2565" s="46"/>
    </row>
    <row r="2566" spans="1:11">
      <c r="A2566" s="45"/>
      <c r="B2566" s="45"/>
      <c r="C2566" s="45"/>
      <c r="D2566" s="46"/>
      <c r="E2566" s="46"/>
      <c r="F2566" s="46"/>
      <c r="G2566" s="46"/>
      <c r="H2566" s="46"/>
      <c r="I2566" s="46"/>
      <c r="J2566" s="46"/>
      <c r="K2566" s="46"/>
    </row>
    <row r="2567" spans="1:11">
      <c r="A2567" s="45"/>
      <c r="B2567" s="45"/>
      <c r="C2567" s="45"/>
      <c r="D2567" s="46"/>
      <c r="E2567" s="46"/>
      <c r="F2567" s="46"/>
      <c r="G2567" s="46"/>
      <c r="H2567" s="46"/>
      <c r="I2567" s="46"/>
      <c r="J2567" s="46"/>
      <c r="K2567" s="46"/>
    </row>
    <row r="2568" spans="1:11">
      <c r="A2568" s="45"/>
      <c r="B2568" s="45"/>
      <c r="C2568" s="45"/>
      <c r="D2568" s="46"/>
      <c r="E2568" s="46"/>
      <c r="F2568" s="46"/>
      <c r="G2568" s="46"/>
      <c r="H2568" s="46"/>
      <c r="I2568" s="46"/>
      <c r="J2568" s="46"/>
      <c r="K2568" s="46"/>
    </row>
    <row r="2569" spans="1:11">
      <c r="A2569" s="45"/>
      <c r="B2569" s="45"/>
      <c r="C2569" s="45"/>
      <c r="D2569" s="46"/>
      <c r="E2569" s="46"/>
      <c r="F2569" s="46"/>
      <c r="G2569" s="46"/>
      <c r="H2569" s="46"/>
      <c r="I2569" s="46"/>
      <c r="J2569" s="46"/>
      <c r="K2569" s="46"/>
    </row>
    <row r="2570" spans="1:11">
      <c r="A2570" s="45"/>
      <c r="B2570" s="45"/>
      <c r="C2570" s="45"/>
      <c r="D2570" s="46"/>
      <c r="E2570" s="46"/>
      <c r="F2570" s="46"/>
      <c r="G2570" s="46"/>
      <c r="H2570" s="46"/>
      <c r="I2570" s="46"/>
      <c r="J2570" s="46"/>
      <c r="K2570" s="46"/>
    </row>
    <row r="2571" spans="1:11">
      <c r="A2571" s="45"/>
      <c r="B2571" s="45"/>
      <c r="C2571" s="45"/>
      <c r="D2571" s="46"/>
      <c r="E2571" s="46"/>
      <c r="F2571" s="46"/>
      <c r="G2571" s="46"/>
      <c r="H2571" s="46"/>
      <c r="I2571" s="46"/>
      <c r="J2571" s="46"/>
      <c r="K2571" s="46"/>
    </row>
    <row r="2572" spans="1:11">
      <c r="A2572" s="45"/>
      <c r="B2572" s="45"/>
      <c r="C2572" s="45"/>
      <c r="D2572" s="46"/>
      <c r="E2572" s="46"/>
      <c r="F2572" s="46"/>
      <c r="G2572" s="46"/>
      <c r="H2572" s="46"/>
      <c r="I2572" s="46"/>
      <c r="J2572" s="46"/>
      <c r="K2572" s="46"/>
    </row>
    <row r="2573" spans="1:11">
      <c r="A2573" s="45"/>
      <c r="B2573" s="45"/>
      <c r="C2573" s="45"/>
      <c r="D2573" s="46"/>
      <c r="E2573" s="46"/>
      <c r="F2573" s="46"/>
      <c r="G2573" s="46"/>
      <c r="H2573" s="46"/>
      <c r="I2573" s="46"/>
      <c r="J2573" s="46"/>
      <c r="K2573" s="46"/>
    </row>
    <row r="2574" spans="1:11">
      <c r="A2574" s="45"/>
      <c r="B2574" s="45"/>
      <c r="C2574" s="45"/>
      <c r="D2574" s="46"/>
      <c r="E2574" s="46"/>
      <c r="F2574" s="46"/>
      <c r="G2574" s="46"/>
      <c r="H2574" s="46"/>
      <c r="I2574" s="46"/>
      <c r="J2574" s="46"/>
      <c r="K2574" s="46"/>
    </row>
    <row r="2575" spans="1:11">
      <c r="A2575" s="45"/>
      <c r="B2575" s="45"/>
      <c r="C2575" s="45"/>
      <c r="D2575" s="46"/>
      <c r="E2575" s="46"/>
      <c r="F2575" s="46"/>
      <c r="G2575" s="46"/>
      <c r="H2575" s="46"/>
      <c r="I2575" s="46"/>
      <c r="J2575" s="46"/>
      <c r="K2575" s="46"/>
    </row>
    <row r="2576" spans="1:11">
      <c r="A2576" s="45"/>
      <c r="B2576" s="45"/>
      <c r="C2576" s="45"/>
      <c r="D2576" s="46"/>
      <c r="E2576" s="46"/>
      <c r="F2576" s="46"/>
      <c r="G2576" s="46"/>
      <c r="H2576" s="46"/>
      <c r="I2576" s="46"/>
      <c r="J2576" s="46"/>
      <c r="K2576" s="46"/>
    </row>
    <row r="2577" spans="1:11">
      <c r="A2577" s="45"/>
      <c r="B2577" s="45"/>
      <c r="C2577" s="45"/>
      <c r="D2577" s="46"/>
      <c r="E2577" s="46"/>
      <c r="F2577" s="46"/>
      <c r="G2577" s="46"/>
      <c r="H2577" s="46"/>
      <c r="I2577" s="46"/>
      <c r="J2577" s="46"/>
      <c r="K2577" s="46"/>
    </row>
    <row r="2578" spans="1:11">
      <c r="A2578" s="45"/>
      <c r="B2578" s="45"/>
      <c r="C2578" s="45"/>
      <c r="D2578" s="46"/>
      <c r="E2578" s="46"/>
      <c r="F2578" s="46"/>
      <c r="G2578" s="46"/>
      <c r="H2578" s="46"/>
      <c r="I2578" s="46"/>
      <c r="J2578" s="46"/>
      <c r="K2578" s="46"/>
    </row>
    <row r="2579" spans="1:11">
      <c r="A2579" s="45"/>
      <c r="B2579" s="45"/>
      <c r="C2579" s="45"/>
      <c r="D2579" s="46"/>
      <c r="E2579" s="46"/>
      <c r="F2579" s="46"/>
      <c r="G2579" s="46"/>
      <c r="H2579" s="46"/>
      <c r="I2579" s="46"/>
      <c r="J2579" s="46"/>
      <c r="K2579" s="46"/>
    </row>
    <row r="2580" spans="1:11">
      <c r="A2580" s="45"/>
      <c r="B2580" s="45"/>
      <c r="C2580" s="45"/>
      <c r="D2580" s="46"/>
      <c r="E2580" s="46"/>
      <c r="F2580" s="46"/>
      <c r="G2580" s="46"/>
      <c r="H2580" s="46"/>
      <c r="I2580" s="46"/>
      <c r="J2580" s="46"/>
      <c r="K2580" s="46"/>
    </row>
    <row r="2581" spans="1:11">
      <c r="A2581" s="45"/>
      <c r="B2581" s="45"/>
      <c r="C2581" s="45"/>
      <c r="D2581" s="46"/>
      <c r="E2581" s="46"/>
      <c r="F2581" s="46"/>
      <c r="G2581" s="46"/>
      <c r="H2581" s="46"/>
      <c r="I2581" s="46"/>
      <c r="J2581" s="46"/>
      <c r="K2581" s="46"/>
    </row>
    <row r="2582" spans="1:11">
      <c r="A2582" s="45"/>
      <c r="B2582" s="45"/>
      <c r="C2582" s="45"/>
      <c r="D2582" s="46"/>
      <c r="E2582" s="46"/>
      <c r="F2582" s="46"/>
      <c r="G2582" s="46"/>
      <c r="H2582" s="46"/>
      <c r="I2582" s="46"/>
      <c r="J2582" s="46"/>
      <c r="K2582" s="46"/>
    </row>
    <row r="2583" spans="1:11">
      <c r="A2583" s="45"/>
      <c r="B2583" s="45"/>
      <c r="C2583" s="45"/>
      <c r="D2583" s="46"/>
      <c r="E2583" s="46"/>
      <c r="F2583" s="46"/>
      <c r="G2583" s="46"/>
      <c r="H2583" s="46"/>
      <c r="I2583" s="46"/>
      <c r="J2583" s="46"/>
      <c r="K2583" s="46"/>
    </row>
    <row r="2584" spans="1:11">
      <c r="A2584" s="45"/>
      <c r="B2584" s="45"/>
      <c r="C2584" s="45"/>
      <c r="D2584" s="46"/>
      <c r="E2584" s="46"/>
      <c r="F2584" s="46"/>
      <c r="G2584" s="46"/>
      <c r="H2584" s="46"/>
      <c r="I2584" s="46"/>
      <c r="J2584" s="46"/>
      <c r="K2584" s="46"/>
    </row>
    <row r="2585" spans="1:11">
      <c r="A2585" s="45"/>
      <c r="B2585" s="45"/>
      <c r="C2585" s="45"/>
      <c r="D2585" s="46"/>
      <c r="E2585" s="46"/>
      <c r="F2585" s="46"/>
      <c r="G2585" s="46"/>
      <c r="H2585" s="46"/>
      <c r="I2585" s="46"/>
      <c r="J2585" s="46"/>
      <c r="K2585" s="46"/>
    </row>
    <row r="2586" spans="1:11">
      <c r="A2586" s="45"/>
      <c r="B2586" s="45"/>
      <c r="C2586" s="45"/>
      <c r="D2586" s="46"/>
      <c r="E2586" s="46"/>
      <c r="F2586" s="46"/>
      <c r="G2586" s="46"/>
      <c r="H2586" s="46"/>
      <c r="I2586" s="46"/>
      <c r="J2586" s="46"/>
      <c r="K2586" s="46"/>
    </row>
    <row r="2587" spans="1:11">
      <c r="A2587" s="45"/>
      <c r="B2587" s="45"/>
      <c r="C2587" s="45"/>
      <c r="D2587" s="46"/>
      <c r="E2587" s="46"/>
      <c r="F2587" s="46"/>
      <c r="G2587" s="46"/>
      <c r="H2587" s="46"/>
      <c r="I2587" s="46"/>
      <c r="J2587" s="46"/>
      <c r="K2587" s="46"/>
    </row>
    <row r="2588" spans="1:11">
      <c r="A2588" s="45"/>
      <c r="B2588" s="45"/>
      <c r="C2588" s="45"/>
      <c r="D2588" s="46"/>
      <c r="E2588" s="46"/>
      <c r="F2588" s="46"/>
      <c r="G2588" s="46"/>
      <c r="H2588" s="46"/>
      <c r="I2588" s="46"/>
      <c r="J2588" s="46"/>
      <c r="K2588" s="46"/>
    </row>
    <row r="2589" spans="1:11">
      <c r="A2589" s="45"/>
      <c r="B2589" s="45"/>
      <c r="C2589" s="45"/>
      <c r="D2589" s="46"/>
      <c r="E2589" s="46"/>
      <c r="F2589" s="46"/>
      <c r="G2589" s="46"/>
      <c r="H2589" s="46"/>
      <c r="I2589" s="46"/>
      <c r="J2589" s="46"/>
      <c r="K2589" s="46"/>
    </row>
    <row r="2590" spans="1:11">
      <c r="A2590" s="45"/>
      <c r="B2590" s="45"/>
      <c r="C2590" s="45"/>
      <c r="D2590" s="46"/>
      <c r="E2590" s="46"/>
      <c r="F2590" s="46"/>
      <c r="G2590" s="46"/>
      <c r="H2590" s="46"/>
      <c r="I2590" s="46"/>
      <c r="J2590" s="46"/>
      <c r="K2590" s="46"/>
    </row>
    <row r="2591" spans="1:11">
      <c r="A2591" s="45"/>
      <c r="B2591" s="45"/>
      <c r="C2591" s="45"/>
      <c r="D2591" s="46"/>
      <c r="E2591" s="46"/>
      <c r="F2591" s="46"/>
      <c r="G2591" s="46"/>
      <c r="H2591" s="46"/>
      <c r="I2591" s="46"/>
      <c r="J2591" s="46"/>
      <c r="K2591" s="46"/>
    </row>
    <row r="2592" spans="1:11">
      <c r="A2592" s="45"/>
      <c r="B2592" s="45"/>
      <c r="C2592" s="45"/>
      <c r="D2592" s="46"/>
      <c r="E2592" s="46"/>
      <c r="F2592" s="46"/>
      <c r="G2592" s="46"/>
      <c r="H2592" s="46"/>
      <c r="I2592" s="46"/>
      <c r="J2592" s="46"/>
      <c r="K2592" s="46"/>
    </row>
    <row r="2593" spans="1:11">
      <c r="A2593" s="45"/>
      <c r="B2593" s="45"/>
      <c r="C2593" s="45"/>
      <c r="D2593" s="46"/>
      <c r="E2593" s="46"/>
      <c r="F2593" s="46"/>
      <c r="G2593" s="46"/>
      <c r="H2593" s="46"/>
      <c r="I2593" s="46"/>
      <c r="J2593" s="46"/>
      <c r="K2593" s="46"/>
    </row>
    <row r="2594" spans="1:11">
      <c r="A2594" s="45"/>
      <c r="B2594" s="45"/>
      <c r="C2594" s="45"/>
      <c r="D2594" s="46"/>
      <c r="E2594" s="46"/>
      <c r="F2594" s="46"/>
      <c r="G2594" s="46"/>
      <c r="H2594" s="46"/>
      <c r="I2594" s="46"/>
      <c r="J2594" s="46"/>
      <c r="K2594" s="46"/>
    </row>
    <row r="2595" spans="1:11">
      <c r="A2595" s="45"/>
      <c r="B2595" s="45"/>
      <c r="C2595" s="45"/>
      <c r="D2595" s="46"/>
      <c r="E2595" s="46"/>
      <c r="F2595" s="46"/>
      <c r="G2595" s="46"/>
      <c r="H2595" s="46"/>
      <c r="I2595" s="46"/>
      <c r="J2595" s="46"/>
      <c r="K2595" s="46"/>
    </row>
    <row r="2596" spans="1:11">
      <c r="A2596" s="45"/>
      <c r="B2596" s="45"/>
      <c r="C2596" s="45"/>
      <c r="D2596" s="46"/>
      <c r="E2596" s="46"/>
      <c r="F2596" s="46"/>
      <c r="G2596" s="46"/>
      <c r="H2596" s="46"/>
      <c r="I2596" s="46"/>
      <c r="J2596" s="46"/>
      <c r="K2596" s="46"/>
    </row>
    <row r="2597" spans="1:11">
      <c r="A2597" s="45"/>
      <c r="B2597" s="45"/>
      <c r="C2597" s="45"/>
      <c r="D2597" s="46"/>
      <c r="E2597" s="46"/>
      <c r="F2597" s="46"/>
      <c r="G2597" s="46"/>
      <c r="H2597" s="46"/>
      <c r="I2597" s="46"/>
      <c r="J2597" s="46"/>
      <c r="K2597" s="46"/>
    </row>
    <row r="2598" spans="1:11">
      <c r="A2598" s="45"/>
      <c r="B2598" s="45"/>
      <c r="C2598" s="45"/>
      <c r="D2598" s="46"/>
      <c r="E2598" s="46"/>
      <c r="F2598" s="46"/>
      <c r="G2598" s="46"/>
      <c r="H2598" s="46"/>
      <c r="I2598" s="46"/>
      <c r="J2598" s="46"/>
      <c r="K2598" s="46"/>
    </row>
    <row r="2599" spans="1:11">
      <c r="A2599" s="45"/>
      <c r="B2599" s="45"/>
      <c r="C2599" s="45"/>
      <c r="D2599" s="46"/>
      <c r="E2599" s="46"/>
      <c r="F2599" s="46"/>
      <c r="G2599" s="46"/>
      <c r="H2599" s="46"/>
      <c r="I2599" s="46"/>
      <c r="J2599" s="46"/>
      <c r="K2599" s="46"/>
    </row>
    <row r="2600" spans="1:11">
      <c r="A2600" s="45"/>
      <c r="B2600" s="45"/>
      <c r="C2600" s="45"/>
      <c r="D2600" s="46"/>
      <c r="E2600" s="46"/>
      <c r="F2600" s="46"/>
      <c r="G2600" s="46"/>
      <c r="H2600" s="46"/>
      <c r="I2600" s="46"/>
      <c r="J2600" s="46"/>
      <c r="K2600" s="46"/>
    </row>
    <row r="2601" spans="1:11">
      <c r="A2601" s="45"/>
      <c r="B2601" s="45"/>
      <c r="C2601" s="45"/>
      <c r="D2601" s="46"/>
      <c r="E2601" s="46"/>
      <c r="F2601" s="46"/>
      <c r="G2601" s="46"/>
      <c r="H2601" s="46"/>
      <c r="I2601" s="46"/>
      <c r="J2601" s="46"/>
      <c r="K2601" s="46"/>
    </row>
  </sheetData>
  <mergeCells count="22">
    <mergeCell ref="A103:B103"/>
    <mergeCell ref="A119:B119"/>
    <mergeCell ref="A133:B133"/>
    <mergeCell ref="D1:K1"/>
    <mergeCell ref="A67:B67"/>
    <mergeCell ref="A86:B86"/>
    <mergeCell ref="A66:I66"/>
    <mergeCell ref="A65:I65"/>
    <mergeCell ref="A166:B166"/>
    <mergeCell ref="A167:B167"/>
    <mergeCell ref="A177:B177"/>
    <mergeCell ref="A178:B178"/>
    <mergeCell ref="A134:B134"/>
    <mergeCell ref="A151:B151"/>
    <mergeCell ref="A152:B152"/>
    <mergeCell ref="A195:B195"/>
    <mergeCell ref="A206:B206"/>
    <mergeCell ref="A207:B207"/>
    <mergeCell ref="A181:B181"/>
    <mergeCell ref="A185:B185"/>
    <mergeCell ref="A189:B189"/>
    <mergeCell ref="A194:B194"/>
  </mergeCells>
  <conditionalFormatting sqref="E2:J2">
    <cfRule type="colorScale" priority="6">
      <colorScale>
        <cfvo type="min"/>
        <cfvo type="percentile" val="50"/>
        <cfvo type="max"/>
        <color rgb="FF63BE7B"/>
        <color rgb="FFFFEB84"/>
        <color rgb="FFF8696B"/>
      </colorScale>
    </cfRule>
  </conditionalFormatting>
  <conditionalFormatting sqref="M2">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6" filterMode="1">
    <tabColor theme="0" tint="-0.34998626667073579"/>
  </sheetPr>
  <dimension ref="A1:L2520"/>
  <sheetViews>
    <sheetView showGridLines="0" topLeftCell="A298" workbookViewId="0">
      <selection activeCell="O5" sqref="O5:AE6"/>
    </sheetView>
  </sheetViews>
  <sheetFormatPr baseColWidth="10" defaultColWidth="11.453125" defaultRowHeight="14.5"/>
  <cols>
    <col min="1" max="1" width="11.453125" style="4"/>
    <col min="2" max="2" width="47.1796875" style="4" customWidth="1"/>
    <col min="3" max="12" width="11.453125" style="4"/>
  </cols>
  <sheetData>
    <row r="1" spans="1:12">
      <c r="A1" s="779" t="s">
        <v>611</v>
      </c>
      <c r="B1" s="779"/>
      <c r="C1" s="779"/>
      <c r="D1" s="779"/>
      <c r="E1" s="779"/>
      <c r="F1" s="779"/>
      <c r="G1" s="779"/>
      <c r="H1" s="779"/>
      <c r="I1" s="779"/>
      <c r="J1" s="779"/>
      <c r="K1" s="779"/>
      <c r="L1" s="779"/>
    </row>
    <row r="2" spans="1:12" ht="87">
      <c r="A2" s="61" t="s">
        <v>612</v>
      </c>
      <c r="B2" s="62" t="s">
        <v>166</v>
      </c>
      <c r="C2" s="62" t="s">
        <v>613</v>
      </c>
      <c r="D2" s="62" t="s">
        <v>773</v>
      </c>
      <c r="E2" s="63" t="s">
        <v>614</v>
      </c>
      <c r="F2" s="62" t="s">
        <v>615</v>
      </c>
      <c r="G2" s="62" t="s">
        <v>616</v>
      </c>
      <c r="H2" s="62" t="s">
        <v>167</v>
      </c>
      <c r="I2" s="62" t="s">
        <v>617</v>
      </c>
      <c r="J2" s="62" t="s">
        <v>618</v>
      </c>
      <c r="K2" s="62" t="s">
        <v>619</v>
      </c>
      <c r="L2" s="62" t="s">
        <v>206</v>
      </c>
    </row>
    <row r="3" spans="1:12" hidden="1">
      <c r="A3" s="37" t="s">
        <v>774</v>
      </c>
      <c r="B3" s="37"/>
      <c r="C3" s="37" t="s">
        <v>640</v>
      </c>
      <c r="D3" s="64">
        <v>12112</v>
      </c>
      <c r="E3" s="38">
        <v>2.2400000000000002</v>
      </c>
      <c r="F3" s="39">
        <v>5.0527044999999999</v>
      </c>
      <c r="G3" s="38">
        <v>0.40542877999999999</v>
      </c>
      <c r="H3" s="38">
        <v>0.26233268999999998</v>
      </c>
      <c r="I3" s="38">
        <v>0.21100323000000001</v>
      </c>
      <c r="J3" s="38">
        <v>3.5969872999999999E-2</v>
      </c>
      <c r="K3" s="38">
        <v>6.6736979E-3</v>
      </c>
      <c r="L3" s="40">
        <v>5.9741127709000006</v>
      </c>
    </row>
    <row r="4" spans="1:12" hidden="1">
      <c r="A4" s="37" t="s">
        <v>775</v>
      </c>
      <c r="B4" s="37"/>
      <c r="C4" s="37" t="s">
        <v>634</v>
      </c>
      <c r="D4" s="64">
        <v>13712</v>
      </c>
      <c r="E4" s="38">
        <v>2.46</v>
      </c>
      <c r="F4" s="39">
        <v>0.14214934000000001</v>
      </c>
      <c r="G4" s="38">
        <v>0.24721275000000001</v>
      </c>
      <c r="H4" s="38">
        <v>0.29182585999999999</v>
      </c>
      <c r="I4" s="38">
        <v>0.21864659</v>
      </c>
      <c r="J4" s="38">
        <v>2.6879759E-2</v>
      </c>
      <c r="K4" s="38">
        <v>0</v>
      </c>
      <c r="L4" s="40">
        <v>0.92671429899999991</v>
      </c>
    </row>
    <row r="5" spans="1:12" hidden="1">
      <c r="A5" s="37" t="s">
        <v>776</v>
      </c>
      <c r="B5" s="37"/>
      <c r="C5" s="37" t="s">
        <v>634</v>
      </c>
      <c r="D5" s="64">
        <v>13713</v>
      </c>
      <c r="E5" s="38">
        <v>2.46</v>
      </c>
      <c r="F5" s="39">
        <v>8.3617258999999999E-2</v>
      </c>
      <c r="G5" s="38">
        <v>0.14541926999999999</v>
      </c>
      <c r="H5" s="38">
        <v>0.17146364</v>
      </c>
      <c r="I5" s="38">
        <v>0.12861564</v>
      </c>
      <c r="J5" s="38">
        <v>1.5811623E-2</v>
      </c>
      <c r="K5" s="38">
        <v>0</v>
      </c>
      <c r="L5" s="40">
        <v>0.54492743200000004</v>
      </c>
    </row>
    <row r="6" spans="1:12" hidden="1">
      <c r="A6" s="37" t="s">
        <v>777</v>
      </c>
      <c r="B6" s="37"/>
      <c r="C6" s="37" t="s">
        <v>634</v>
      </c>
      <c r="D6" s="64">
        <v>13714</v>
      </c>
      <c r="E6" s="38">
        <v>2.46</v>
      </c>
      <c r="F6" s="39">
        <v>0.14465786</v>
      </c>
      <c r="G6" s="38">
        <v>0.25157532999999999</v>
      </c>
      <c r="H6" s="38">
        <v>0.29698201000000002</v>
      </c>
      <c r="I6" s="38">
        <v>0.22250397</v>
      </c>
      <c r="J6" s="38">
        <v>2.7354107999999999E-2</v>
      </c>
      <c r="K6" s="38">
        <v>0</v>
      </c>
      <c r="L6" s="40">
        <v>0.94307327800000007</v>
      </c>
    </row>
    <row r="7" spans="1:12" hidden="1">
      <c r="A7" s="37" t="s">
        <v>778</v>
      </c>
      <c r="B7" s="37"/>
      <c r="C7" s="37" t="s">
        <v>634</v>
      </c>
      <c r="D7" s="64">
        <v>13715</v>
      </c>
      <c r="E7" s="38">
        <v>2.44</v>
      </c>
      <c r="F7" s="39">
        <v>8.3617258999999999E-2</v>
      </c>
      <c r="G7" s="38">
        <v>0.14541926999999999</v>
      </c>
      <c r="H7" s="38">
        <v>0.17146364</v>
      </c>
      <c r="I7" s="38">
        <v>0.12861564</v>
      </c>
      <c r="J7" s="38">
        <v>1.5811623E-2</v>
      </c>
      <c r="K7" s="38">
        <v>0</v>
      </c>
      <c r="L7" s="40">
        <v>0.54492743200000004</v>
      </c>
    </row>
    <row r="8" spans="1:12" hidden="1">
      <c r="A8" s="37" t="s">
        <v>779</v>
      </c>
      <c r="B8" s="37"/>
      <c r="C8" s="37" t="s">
        <v>634</v>
      </c>
      <c r="D8" s="64">
        <v>13000</v>
      </c>
      <c r="E8" s="38">
        <v>2.2000000000000002</v>
      </c>
      <c r="F8" s="39">
        <v>0.14767705</v>
      </c>
      <c r="G8" s="38">
        <v>0</v>
      </c>
      <c r="H8" s="38">
        <v>0.35147703000000002</v>
      </c>
      <c r="I8" s="38">
        <v>0.28554206999999998</v>
      </c>
      <c r="J8" s="38">
        <v>1.5591117999999999E-2</v>
      </c>
      <c r="K8" s="38">
        <v>8.0351048999999994E-2</v>
      </c>
      <c r="L8" s="40">
        <v>0.88063831700000006</v>
      </c>
    </row>
    <row r="9" spans="1:12" hidden="1">
      <c r="A9" s="37" t="s">
        <v>780</v>
      </c>
      <c r="B9" s="37"/>
      <c r="C9" s="37" t="s">
        <v>634</v>
      </c>
      <c r="D9" s="64">
        <v>13001</v>
      </c>
      <c r="E9" s="38">
        <v>2.64</v>
      </c>
      <c r="F9" s="39">
        <v>0.86243400000000003</v>
      </c>
      <c r="G9" s="38">
        <v>0.30788749999999998</v>
      </c>
      <c r="H9" s="38">
        <v>0.28118162000000002</v>
      </c>
      <c r="I9" s="38">
        <v>0.33042987000000001</v>
      </c>
      <c r="J9" s="38">
        <v>2.0096607999999998E-2</v>
      </c>
      <c r="K9" s="38">
        <v>0</v>
      </c>
      <c r="L9" s="40">
        <v>1.8020295980000001</v>
      </c>
    </row>
    <row r="10" spans="1:12" hidden="1">
      <c r="A10" s="37" t="s">
        <v>781</v>
      </c>
      <c r="B10" s="37"/>
      <c r="C10" s="37" t="s">
        <v>782</v>
      </c>
      <c r="D10" s="64">
        <v>25433</v>
      </c>
      <c r="E10" s="38">
        <v>3.14</v>
      </c>
      <c r="F10" s="39">
        <v>4.1608058000000003</v>
      </c>
      <c r="G10" s="38">
        <v>0.16280623999999999</v>
      </c>
      <c r="H10" s="38">
        <v>0.27732312999999997</v>
      </c>
      <c r="I10" s="38">
        <v>0.58663284999999998</v>
      </c>
      <c r="J10" s="38">
        <v>3.7768032999999999E-2</v>
      </c>
      <c r="K10" s="38">
        <v>9.2564276000000001E-2</v>
      </c>
      <c r="L10" s="40">
        <v>5.3179003290000004</v>
      </c>
    </row>
    <row r="11" spans="1:12" hidden="1">
      <c r="A11" s="41" t="s">
        <v>783</v>
      </c>
      <c r="B11" s="41"/>
      <c r="C11" s="41" t="s">
        <v>784</v>
      </c>
      <c r="D11" s="65">
        <v>11084</v>
      </c>
      <c r="E11" s="42">
        <v>2.99</v>
      </c>
      <c r="F11" s="43">
        <v>4.5528129000000002</v>
      </c>
      <c r="G11" s="42">
        <v>1.4896054000000001</v>
      </c>
      <c r="H11" s="42">
        <v>0.28987795999999999</v>
      </c>
      <c r="I11" s="42">
        <v>0.38352982000000002</v>
      </c>
      <c r="J11" s="42">
        <v>2.0039066000000001E-2</v>
      </c>
      <c r="K11" s="42">
        <v>9.9403358999999997E-3</v>
      </c>
      <c r="L11" s="44">
        <v>6.7458054818999997</v>
      </c>
    </row>
    <row r="12" spans="1:12" hidden="1">
      <c r="A12" s="37" t="s">
        <v>785</v>
      </c>
      <c r="B12" s="37"/>
      <c r="C12" s="37" t="s">
        <v>786</v>
      </c>
      <c r="D12" s="64">
        <v>21508</v>
      </c>
      <c r="E12" s="38">
        <v>2.65</v>
      </c>
      <c r="F12" s="39">
        <v>49.872242</v>
      </c>
      <c r="G12" s="38">
        <v>8.3945015999999997E-2</v>
      </c>
      <c r="H12" s="38">
        <v>0.43473212</v>
      </c>
      <c r="I12" s="38">
        <v>0.32008346999999998</v>
      </c>
      <c r="J12" s="38">
        <v>5.8984421000000002E-2</v>
      </c>
      <c r="K12" s="38">
        <v>0.19793284</v>
      </c>
      <c r="L12" s="40">
        <v>50.967919866999999</v>
      </c>
    </row>
    <row r="13" spans="1:12" hidden="1">
      <c r="A13" s="37" t="s">
        <v>787</v>
      </c>
      <c r="B13" s="37"/>
      <c r="C13" s="37" t="s">
        <v>788</v>
      </c>
      <c r="D13" s="64">
        <v>21514</v>
      </c>
      <c r="E13" s="38">
        <v>2.63</v>
      </c>
      <c r="F13" s="39">
        <v>39.479098</v>
      </c>
      <c r="G13" s="38">
        <v>6.6451264999999995E-2</v>
      </c>
      <c r="H13" s="38">
        <v>0.34413596000000002</v>
      </c>
      <c r="I13" s="38">
        <v>0.25337956</v>
      </c>
      <c r="J13" s="38">
        <v>4.6692341999999998E-2</v>
      </c>
      <c r="K13" s="38">
        <v>8.8693171000000001E-2</v>
      </c>
      <c r="L13" s="40">
        <v>40.278450298000003</v>
      </c>
    </row>
    <row r="14" spans="1:12" hidden="1">
      <c r="A14" s="37" t="s">
        <v>789</v>
      </c>
      <c r="B14" s="37"/>
      <c r="C14" s="37" t="s">
        <v>788</v>
      </c>
      <c r="D14" s="64">
        <v>21516</v>
      </c>
      <c r="E14" s="38">
        <v>2.63</v>
      </c>
      <c r="F14" s="39">
        <v>39.479098</v>
      </c>
      <c r="G14" s="38">
        <v>6.6451264999999995E-2</v>
      </c>
      <c r="H14" s="38">
        <v>0.34413596000000002</v>
      </c>
      <c r="I14" s="38">
        <v>0.25337956</v>
      </c>
      <c r="J14" s="38">
        <v>4.6692341999999998E-2</v>
      </c>
      <c r="K14" s="38">
        <v>8.8693171000000001E-2</v>
      </c>
      <c r="L14" s="40">
        <v>40.278450298000003</v>
      </c>
    </row>
    <row r="15" spans="1:12" hidden="1">
      <c r="A15" s="37" t="s">
        <v>790</v>
      </c>
      <c r="B15" s="37"/>
      <c r="C15" s="37" t="s">
        <v>786</v>
      </c>
      <c r="D15" s="64">
        <v>21509</v>
      </c>
      <c r="E15" s="38">
        <v>2.65</v>
      </c>
      <c r="F15" s="39">
        <v>49.884419000000001</v>
      </c>
      <c r="G15" s="38">
        <v>8.5250259999999994E-2</v>
      </c>
      <c r="H15" s="38">
        <v>0.43477028000000001</v>
      </c>
      <c r="I15" s="38">
        <v>0.32084891999999998</v>
      </c>
      <c r="J15" s="38">
        <v>5.8984421000000002E-2</v>
      </c>
      <c r="K15" s="38">
        <v>0.22316143999999999</v>
      </c>
      <c r="L15" s="40">
        <v>51.007434321000005</v>
      </c>
    </row>
    <row r="16" spans="1:12" hidden="1">
      <c r="A16" s="37" t="s">
        <v>791</v>
      </c>
      <c r="B16" s="37"/>
      <c r="C16" s="37" t="s">
        <v>788</v>
      </c>
      <c r="D16" s="64">
        <v>21517</v>
      </c>
      <c r="E16" s="38">
        <v>2.63</v>
      </c>
      <c r="F16" s="39">
        <v>39.479098</v>
      </c>
      <c r="G16" s="38">
        <v>6.6451264999999995E-2</v>
      </c>
      <c r="H16" s="38">
        <v>0.34413596000000002</v>
      </c>
      <c r="I16" s="38">
        <v>0.25337956</v>
      </c>
      <c r="J16" s="38">
        <v>4.6692341999999998E-2</v>
      </c>
      <c r="K16" s="38">
        <v>8.8693171000000001E-2</v>
      </c>
      <c r="L16" s="40">
        <v>40.278450298000003</v>
      </c>
    </row>
    <row r="17" spans="1:12" hidden="1">
      <c r="A17" s="37" t="s">
        <v>792</v>
      </c>
      <c r="B17" s="37"/>
      <c r="C17" s="37" t="s">
        <v>786</v>
      </c>
      <c r="D17" s="64">
        <v>21512</v>
      </c>
      <c r="E17" s="38">
        <v>2.65</v>
      </c>
      <c r="F17" s="39">
        <v>49.884419000000001</v>
      </c>
      <c r="G17" s="38">
        <v>8.5250259999999994E-2</v>
      </c>
      <c r="H17" s="38">
        <v>0.43477028000000001</v>
      </c>
      <c r="I17" s="38">
        <v>0.32084891999999998</v>
      </c>
      <c r="J17" s="38">
        <v>5.8984421000000002E-2</v>
      </c>
      <c r="K17" s="38">
        <v>0.22316143999999999</v>
      </c>
      <c r="L17" s="40">
        <v>51.007434321000005</v>
      </c>
    </row>
    <row r="18" spans="1:12" hidden="1">
      <c r="A18" s="37" t="s">
        <v>793</v>
      </c>
      <c r="B18" s="37"/>
      <c r="C18" s="37" t="s">
        <v>788</v>
      </c>
      <c r="D18" s="64">
        <v>21500</v>
      </c>
      <c r="E18" s="38">
        <v>2.63</v>
      </c>
      <c r="F18" s="39">
        <v>39.479098</v>
      </c>
      <c r="G18" s="38">
        <v>6.6451264999999995E-2</v>
      </c>
      <c r="H18" s="38">
        <v>0.32205579000000001</v>
      </c>
      <c r="I18" s="38">
        <v>0.25334245999999999</v>
      </c>
      <c r="J18" s="38">
        <v>4.6692341999999998E-2</v>
      </c>
      <c r="K18" s="38">
        <v>8.7024747E-2</v>
      </c>
      <c r="L18" s="40">
        <v>40.254664603999998</v>
      </c>
    </row>
    <row r="19" spans="1:12" hidden="1">
      <c r="A19" s="37" t="s">
        <v>794</v>
      </c>
      <c r="B19" s="37"/>
      <c r="C19" s="37" t="s">
        <v>786</v>
      </c>
      <c r="D19" s="64">
        <v>21501</v>
      </c>
      <c r="E19" s="38">
        <v>2.65</v>
      </c>
      <c r="F19" s="39">
        <v>49.913756999999997</v>
      </c>
      <c r="G19" s="38">
        <v>8.5299641999999995E-2</v>
      </c>
      <c r="H19" s="38">
        <v>0.40685687999999998</v>
      </c>
      <c r="I19" s="38">
        <v>0.32099021</v>
      </c>
      <c r="J19" s="38">
        <v>5.9019120000000001E-2</v>
      </c>
      <c r="K19" s="38">
        <v>0.22105764999999999</v>
      </c>
      <c r="L19" s="40">
        <v>51.006980501999998</v>
      </c>
    </row>
    <row r="20" spans="1:12" hidden="1">
      <c r="A20" s="37" t="s">
        <v>795</v>
      </c>
      <c r="B20" s="37"/>
      <c r="C20" s="37" t="s">
        <v>788</v>
      </c>
      <c r="D20" s="64">
        <v>21504</v>
      </c>
      <c r="E20" s="38">
        <v>2.63</v>
      </c>
      <c r="F20" s="39">
        <v>31.583278</v>
      </c>
      <c r="G20" s="38">
        <v>5.3161012000000001E-2</v>
      </c>
      <c r="H20" s="38">
        <v>0.27530876999999998</v>
      </c>
      <c r="I20" s="38">
        <v>0.20270365000000001</v>
      </c>
      <c r="J20" s="38">
        <v>3.7353873000000003E-2</v>
      </c>
      <c r="K20" s="38">
        <v>6.6736979E-3</v>
      </c>
      <c r="L20" s="40">
        <v>32.158479002899995</v>
      </c>
    </row>
    <row r="21" spans="1:12" hidden="1">
      <c r="A21" s="37" t="s">
        <v>796</v>
      </c>
      <c r="B21" s="37"/>
      <c r="C21" s="37" t="s">
        <v>788</v>
      </c>
      <c r="D21" s="64">
        <v>21505</v>
      </c>
      <c r="E21" s="38">
        <v>2.63</v>
      </c>
      <c r="F21" s="39">
        <v>31.583278</v>
      </c>
      <c r="G21" s="38">
        <v>5.3161012000000001E-2</v>
      </c>
      <c r="H21" s="38">
        <v>0.27530876999999998</v>
      </c>
      <c r="I21" s="38">
        <v>0.20270365000000001</v>
      </c>
      <c r="J21" s="38">
        <v>3.7353873000000003E-2</v>
      </c>
      <c r="K21" s="38">
        <v>6.6736979E-3</v>
      </c>
      <c r="L21" s="40">
        <v>32.158479002899995</v>
      </c>
    </row>
    <row r="22" spans="1:12" hidden="1">
      <c r="A22" s="37" t="s">
        <v>797</v>
      </c>
      <c r="B22" s="37"/>
      <c r="C22" s="37" t="s">
        <v>786</v>
      </c>
      <c r="D22" s="64">
        <v>21507</v>
      </c>
      <c r="E22" s="38">
        <v>2.65</v>
      </c>
      <c r="F22" s="39">
        <v>39.897793</v>
      </c>
      <c r="G22" s="38">
        <v>6.7156013000000001E-2</v>
      </c>
      <c r="H22" s="38">
        <v>0.34778568999999998</v>
      </c>
      <c r="I22" s="38">
        <v>0.25606677999999999</v>
      </c>
      <c r="J22" s="38">
        <v>4.7187537000000002E-2</v>
      </c>
      <c r="K22" s="38">
        <v>9.4321172999999994E-2</v>
      </c>
      <c r="L22" s="40">
        <v>40.710310192999998</v>
      </c>
    </row>
    <row r="23" spans="1:12" hidden="1">
      <c r="A23" s="37" t="s">
        <v>798</v>
      </c>
      <c r="B23" s="37"/>
      <c r="C23" s="37" t="s">
        <v>786</v>
      </c>
      <c r="D23" s="64">
        <v>21506</v>
      </c>
      <c r="E23" s="38">
        <v>2.65</v>
      </c>
      <c r="F23" s="39">
        <v>39.897793</v>
      </c>
      <c r="G23" s="38">
        <v>6.7156013000000001E-2</v>
      </c>
      <c r="H23" s="38">
        <v>0.34778568999999998</v>
      </c>
      <c r="I23" s="38">
        <v>0.25606677999999999</v>
      </c>
      <c r="J23" s="38">
        <v>4.7187537000000002E-2</v>
      </c>
      <c r="K23" s="38">
        <v>9.4321172999999994E-2</v>
      </c>
      <c r="L23" s="40">
        <v>40.710310192999998</v>
      </c>
    </row>
    <row r="24" spans="1:12" hidden="1">
      <c r="A24" s="37" t="s">
        <v>799</v>
      </c>
      <c r="B24" s="37"/>
      <c r="C24" s="37" t="s">
        <v>786</v>
      </c>
      <c r="D24" s="64">
        <v>21519</v>
      </c>
      <c r="E24" s="38">
        <v>2.65</v>
      </c>
      <c r="F24" s="39">
        <v>49.872242</v>
      </c>
      <c r="G24" s="38">
        <v>8.3945015999999997E-2</v>
      </c>
      <c r="H24" s="38">
        <v>0.43473212</v>
      </c>
      <c r="I24" s="38">
        <v>0.32008346999999998</v>
      </c>
      <c r="J24" s="38">
        <v>5.8984421000000002E-2</v>
      </c>
      <c r="K24" s="38">
        <v>0.19793284</v>
      </c>
      <c r="L24" s="40">
        <v>50.967919866999999</v>
      </c>
    </row>
    <row r="25" spans="1:12" hidden="1">
      <c r="A25" s="37" t="s">
        <v>800</v>
      </c>
      <c r="B25" s="37"/>
      <c r="C25" s="37" t="s">
        <v>788</v>
      </c>
      <c r="D25" s="64">
        <v>21502</v>
      </c>
      <c r="E25" s="38">
        <v>2.63</v>
      </c>
      <c r="F25" s="39">
        <v>39.479098</v>
      </c>
      <c r="G25" s="38">
        <v>6.6451264999999995E-2</v>
      </c>
      <c r="H25" s="38">
        <v>0.34413596000000002</v>
      </c>
      <c r="I25" s="38">
        <v>0.25337956</v>
      </c>
      <c r="J25" s="38">
        <v>4.6692341999999998E-2</v>
      </c>
      <c r="K25" s="38">
        <v>8.8693171000000001E-2</v>
      </c>
      <c r="L25" s="40">
        <v>40.278450298000003</v>
      </c>
    </row>
    <row r="26" spans="1:12" hidden="1">
      <c r="A26" s="37" t="s">
        <v>801</v>
      </c>
      <c r="B26" s="37"/>
      <c r="C26" s="37" t="s">
        <v>786</v>
      </c>
      <c r="D26" s="64">
        <v>21518</v>
      </c>
      <c r="E26" s="38">
        <v>2.65</v>
      </c>
      <c r="F26" s="39">
        <v>49.884419000000001</v>
      </c>
      <c r="G26" s="38">
        <v>8.5250259999999994E-2</v>
      </c>
      <c r="H26" s="38">
        <v>0.43477028000000001</v>
      </c>
      <c r="I26" s="38">
        <v>0.32084891999999998</v>
      </c>
      <c r="J26" s="38">
        <v>5.8984421000000002E-2</v>
      </c>
      <c r="K26" s="38">
        <v>0.22316143999999999</v>
      </c>
      <c r="L26" s="40">
        <v>51.007434321000005</v>
      </c>
    </row>
    <row r="27" spans="1:12" hidden="1">
      <c r="A27" s="37" t="s">
        <v>802</v>
      </c>
      <c r="B27" s="37"/>
      <c r="C27" s="37" t="s">
        <v>786</v>
      </c>
      <c r="D27" s="64">
        <v>21503</v>
      </c>
      <c r="E27" s="38">
        <v>2.65</v>
      </c>
      <c r="F27" s="39">
        <v>49.872242</v>
      </c>
      <c r="G27" s="38">
        <v>8.3945015999999997E-2</v>
      </c>
      <c r="H27" s="38">
        <v>0.43473212</v>
      </c>
      <c r="I27" s="38">
        <v>0.32008346999999998</v>
      </c>
      <c r="J27" s="38">
        <v>5.8984421000000002E-2</v>
      </c>
      <c r="K27" s="38">
        <v>0.19793284</v>
      </c>
      <c r="L27" s="40">
        <v>50.967919866999999</v>
      </c>
    </row>
    <row r="28" spans="1:12" hidden="1">
      <c r="A28" s="37" t="s">
        <v>803</v>
      </c>
      <c r="B28" s="37"/>
      <c r="C28" s="37" t="s">
        <v>788</v>
      </c>
      <c r="D28" s="64">
        <v>21515</v>
      </c>
      <c r="E28" s="38">
        <v>2.63</v>
      </c>
      <c r="F28" s="39">
        <v>39.479098</v>
      </c>
      <c r="G28" s="38">
        <v>6.6451264999999995E-2</v>
      </c>
      <c r="H28" s="38">
        <v>0.34413596000000002</v>
      </c>
      <c r="I28" s="38">
        <v>0.25337956</v>
      </c>
      <c r="J28" s="38">
        <v>4.6692341999999998E-2</v>
      </c>
      <c r="K28" s="38">
        <v>8.8693171000000001E-2</v>
      </c>
      <c r="L28" s="40">
        <v>40.278450298000003</v>
      </c>
    </row>
    <row r="29" spans="1:12" hidden="1">
      <c r="A29" s="37" t="s">
        <v>804</v>
      </c>
      <c r="B29" s="37"/>
      <c r="C29" s="37" t="s">
        <v>786</v>
      </c>
      <c r="D29" s="64">
        <v>21520</v>
      </c>
      <c r="E29" s="38">
        <v>2.65</v>
      </c>
      <c r="F29" s="39">
        <v>49.884419000000001</v>
      </c>
      <c r="G29" s="38">
        <v>8.5250259999999994E-2</v>
      </c>
      <c r="H29" s="38">
        <v>0.43477028000000001</v>
      </c>
      <c r="I29" s="38">
        <v>0.32084891999999998</v>
      </c>
      <c r="J29" s="38">
        <v>5.8984421000000002E-2</v>
      </c>
      <c r="K29" s="38">
        <v>0.22316143999999999</v>
      </c>
      <c r="L29" s="40">
        <v>51.007434321000005</v>
      </c>
    </row>
    <row r="30" spans="1:12" hidden="1">
      <c r="A30" s="37" t="s">
        <v>805</v>
      </c>
      <c r="B30" s="37"/>
      <c r="C30" s="37" t="s">
        <v>786</v>
      </c>
      <c r="D30" s="64">
        <v>21513</v>
      </c>
      <c r="E30" s="38">
        <v>2.65</v>
      </c>
      <c r="F30" s="39">
        <v>49.872242</v>
      </c>
      <c r="G30" s="38">
        <v>8.3945015999999997E-2</v>
      </c>
      <c r="H30" s="38">
        <v>0.43473212</v>
      </c>
      <c r="I30" s="38">
        <v>0.32008346999999998</v>
      </c>
      <c r="J30" s="38">
        <v>5.8984421000000002E-2</v>
      </c>
      <c r="K30" s="38">
        <v>0.19793284</v>
      </c>
      <c r="L30" s="40">
        <v>50.967919866999999</v>
      </c>
    </row>
    <row r="31" spans="1:12" hidden="1">
      <c r="A31" s="37" t="s">
        <v>806</v>
      </c>
      <c r="B31" s="37"/>
      <c r="C31" s="37" t="s">
        <v>807</v>
      </c>
      <c r="D31" s="64">
        <v>11023</v>
      </c>
      <c r="E31" s="38">
        <v>4.1100000000000003</v>
      </c>
      <c r="F31" s="39">
        <v>6.7956418000000005E-2</v>
      </c>
      <c r="G31" s="38">
        <v>0</v>
      </c>
      <c r="H31" s="38">
        <v>0.47782284000000003</v>
      </c>
      <c r="I31" s="38">
        <v>0.18881904999999999</v>
      </c>
      <c r="J31" s="38">
        <v>1.5675970000000001E-2</v>
      </c>
      <c r="K31" s="38">
        <v>0</v>
      </c>
      <c r="L31" s="40">
        <v>0.75027427800000002</v>
      </c>
    </row>
    <row r="32" spans="1:12" hidden="1">
      <c r="A32" s="37" t="s">
        <v>808</v>
      </c>
      <c r="B32" s="37"/>
      <c r="C32" s="37" t="s">
        <v>807</v>
      </c>
      <c r="D32" s="64">
        <v>11000</v>
      </c>
      <c r="E32" s="38">
        <v>3.54</v>
      </c>
      <c r="F32" s="39">
        <v>8.4945521999999996E-2</v>
      </c>
      <c r="G32" s="38">
        <v>0</v>
      </c>
      <c r="H32" s="38">
        <v>0</v>
      </c>
      <c r="I32" s="38">
        <v>0.17315136</v>
      </c>
      <c r="J32" s="38">
        <v>1.9594963E-2</v>
      </c>
      <c r="K32" s="38">
        <v>8.0351048999999994E-2</v>
      </c>
      <c r="L32" s="40">
        <v>0.35804289400000006</v>
      </c>
    </row>
    <row r="33" spans="1:12" hidden="1">
      <c r="A33" s="41" t="s">
        <v>809</v>
      </c>
      <c r="B33" s="41"/>
      <c r="C33" s="41" t="s">
        <v>657</v>
      </c>
      <c r="D33" s="65">
        <v>1014</v>
      </c>
      <c r="E33" s="42">
        <v>3.29</v>
      </c>
      <c r="F33" s="43">
        <v>6.2203355000000002E-3</v>
      </c>
      <c r="G33" s="42">
        <v>0.35111300000000001</v>
      </c>
      <c r="H33" s="42">
        <v>0.47782284000000003</v>
      </c>
      <c r="I33" s="42">
        <v>0.17638297999999999</v>
      </c>
      <c r="J33" s="42">
        <v>1.5108570999999999E-2</v>
      </c>
      <c r="K33" s="42">
        <v>6.6736979E-3</v>
      </c>
      <c r="L33" s="44">
        <v>1.0333214244000002</v>
      </c>
    </row>
    <row r="34" spans="1:12" hidden="1">
      <c r="A34" s="37" t="s">
        <v>810</v>
      </c>
      <c r="B34" s="37"/>
      <c r="C34" s="37" t="s">
        <v>811</v>
      </c>
      <c r="D34" s="64">
        <v>4041</v>
      </c>
      <c r="E34" s="38">
        <v>2.2599999999999998</v>
      </c>
      <c r="F34" s="39">
        <v>2.3391994</v>
      </c>
      <c r="G34" s="38">
        <v>0.22185663999999999</v>
      </c>
      <c r="H34" s="38">
        <v>0.18549789</v>
      </c>
      <c r="I34" s="38">
        <v>0.22267669000000001</v>
      </c>
      <c r="J34" s="38">
        <v>3.7768032999999999E-2</v>
      </c>
      <c r="K34" s="38">
        <v>1.7696322E-2</v>
      </c>
      <c r="L34" s="40">
        <v>3.0246949750000001</v>
      </c>
    </row>
    <row r="35" spans="1:12" hidden="1">
      <c r="A35" s="37" t="s">
        <v>812</v>
      </c>
      <c r="B35" s="37"/>
      <c r="C35" s="37" t="s">
        <v>637</v>
      </c>
      <c r="D35" s="64">
        <v>15000</v>
      </c>
      <c r="E35" s="38">
        <v>3.19</v>
      </c>
      <c r="F35" s="39">
        <v>1.8861182999999999</v>
      </c>
      <c r="G35" s="38">
        <v>0.19366700000000001</v>
      </c>
      <c r="H35" s="38">
        <v>0.26506589000000003</v>
      </c>
      <c r="I35" s="38">
        <v>0.32099011999999999</v>
      </c>
      <c r="J35" s="38">
        <v>2.2656431000000001E-2</v>
      </c>
      <c r="K35" s="38">
        <v>0</v>
      </c>
      <c r="L35" s="40">
        <v>2.6884977409999999</v>
      </c>
    </row>
    <row r="36" spans="1:12" hidden="1">
      <c r="A36" s="37" t="s">
        <v>813</v>
      </c>
      <c r="B36" s="37"/>
      <c r="C36" s="37" t="s">
        <v>637</v>
      </c>
      <c r="D36" s="64">
        <v>15042</v>
      </c>
      <c r="E36" s="38">
        <v>3.68</v>
      </c>
      <c r="F36" s="39">
        <v>1.8861182999999999</v>
      </c>
      <c r="G36" s="38">
        <v>0.19366700000000001</v>
      </c>
      <c r="H36" s="38">
        <v>0.26506589000000003</v>
      </c>
      <c r="I36" s="38">
        <v>0.32099011999999999</v>
      </c>
      <c r="J36" s="38">
        <v>2.2656431000000001E-2</v>
      </c>
      <c r="K36" s="38">
        <v>0</v>
      </c>
      <c r="L36" s="40">
        <v>2.6884977409999999</v>
      </c>
    </row>
    <row r="37" spans="1:12" hidden="1">
      <c r="A37" s="37" t="s">
        <v>814</v>
      </c>
      <c r="B37" s="37"/>
      <c r="C37" s="37" t="s">
        <v>637</v>
      </c>
      <c r="D37" s="64">
        <v>15041</v>
      </c>
      <c r="E37" s="38">
        <v>3.68</v>
      </c>
      <c r="F37" s="39">
        <v>1.8861182999999999</v>
      </c>
      <c r="G37" s="38">
        <v>0.19366700000000001</v>
      </c>
      <c r="H37" s="38">
        <v>0.26506589000000003</v>
      </c>
      <c r="I37" s="38">
        <v>0.32099011999999999</v>
      </c>
      <c r="J37" s="38">
        <v>2.2656431000000001E-2</v>
      </c>
      <c r="K37" s="38">
        <v>0</v>
      </c>
      <c r="L37" s="40">
        <v>2.6884977409999999</v>
      </c>
    </row>
    <row r="38" spans="1:12" hidden="1">
      <c r="A38" s="37" t="s">
        <v>815</v>
      </c>
      <c r="B38" s="37"/>
      <c r="C38" s="37" t="s">
        <v>816</v>
      </c>
      <c r="D38" s="64">
        <v>9345</v>
      </c>
      <c r="E38" s="38">
        <v>3.6</v>
      </c>
      <c r="F38" s="39">
        <v>0.73765150999999995</v>
      </c>
      <c r="G38" s="38">
        <v>0</v>
      </c>
      <c r="H38" s="38">
        <v>0.26506589000000003</v>
      </c>
      <c r="I38" s="38">
        <v>0.13112868999999999</v>
      </c>
      <c r="J38" s="38">
        <v>1.606076E-2</v>
      </c>
      <c r="K38" s="38">
        <v>0</v>
      </c>
      <c r="L38" s="40">
        <v>1.1499068499999998</v>
      </c>
    </row>
    <row r="39" spans="1:12" hidden="1">
      <c r="A39" s="37" t="s">
        <v>817</v>
      </c>
      <c r="B39" s="37"/>
      <c r="C39" s="37" t="s">
        <v>818</v>
      </c>
      <c r="D39" s="64">
        <v>9510</v>
      </c>
      <c r="E39" s="38">
        <v>3.16</v>
      </c>
      <c r="F39" s="39">
        <v>0</v>
      </c>
      <c r="G39" s="38">
        <v>0.84583516999999997</v>
      </c>
      <c r="H39" s="38">
        <v>0.10086320999999999</v>
      </c>
      <c r="I39" s="38">
        <v>0.10851091</v>
      </c>
      <c r="J39" s="38">
        <v>2.6758056999999998E-2</v>
      </c>
      <c r="K39" s="38">
        <v>0</v>
      </c>
      <c r="L39" s="40">
        <v>1.0819673469999997</v>
      </c>
    </row>
    <row r="40" spans="1:12">
      <c r="A40" s="37" t="s">
        <v>819</v>
      </c>
      <c r="B40" s="37"/>
      <c r="C40" s="37" t="s">
        <v>634</v>
      </c>
      <c r="D40" s="64">
        <v>13716</v>
      </c>
      <c r="E40" s="38">
        <v>2.93</v>
      </c>
      <c r="F40" s="39">
        <v>0.34431157000000001</v>
      </c>
      <c r="G40" s="38">
        <v>0.38770534000000001</v>
      </c>
      <c r="H40" s="38">
        <v>0.28322677000000002</v>
      </c>
      <c r="I40" s="38">
        <v>0.37706188000000002</v>
      </c>
      <c r="J40" s="38">
        <v>2.6089178000000001E-2</v>
      </c>
      <c r="K40" s="38">
        <v>0</v>
      </c>
      <c r="L40" s="40">
        <v>1.4183947380000002</v>
      </c>
    </row>
    <row r="41" spans="1:12">
      <c r="A41" s="37" t="s">
        <v>820</v>
      </c>
      <c r="B41" s="37"/>
      <c r="C41" s="37" t="s">
        <v>634</v>
      </c>
      <c r="D41" s="64">
        <v>13717</v>
      </c>
      <c r="E41" s="38">
        <v>2.93</v>
      </c>
      <c r="F41" s="39">
        <v>0.20867368</v>
      </c>
      <c r="G41" s="38">
        <v>0.23497293</v>
      </c>
      <c r="H41" s="38">
        <v>0.17146364</v>
      </c>
      <c r="I41" s="38">
        <v>0.22852288000000001</v>
      </c>
      <c r="J41" s="38">
        <v>1.5811623E-2</v>
      </c>
      <c r="K41" s="38">
        <v>0</v>
      </c>
      <c r="L41" s="40">
        <v>0.85944475300000001</v>
      </c>
    </row>
    <row r="42" spans="1:12" hidden="1">
      <c r="A42" s="37" t="s">
        <v>821</v>
      </c>
      <c r="B42" s="37"/>
      <c r="C42" s="37" t="s">
        <v>634</v>
      </c>
      <c r="D42" s="64">
        <v>13718</v>
      </c>
      <c r="E42" s="38">
        <v>2.93</v>
      </c>
      <c r="F42" s="39">
        <v>0.34639830999999999</v>
      </c>
      <c r="G42" s="38">
        <v>0.39005507</v>
      </c>
      <c r="H42" s="38">
        <v>0.28494909000000002</v>
      </c>
      <c r="I42" s="38">
        <v>0.37934851000000003</v>
      </c>
      <c r="J42" s="38">
        <v>2.6247295E-2</v>
      </c>
      <c r="K42" s="38">
        <v>0</v>
      </c>
      <c r="L42" s="40">
        <v>1.4269982749999999</v>
      </c>
    </row>
    <row r="43" spans="1:12" hidden="1">
      <c r="A43" s="37" t="s">
        <v>822</v>
      </c>
      <c r="B43" s="37"/>
      <c r="C43" s="37" t="s">
        <v>634</v>
      </c>
      <c r="D43" s="64">
        <v>13719</v>
      </c>
      <c r="E43" s="38">
        <v>2.93</v>
      </c>
      <c r="F43" s="39">
        <v>0.20867368</v>
      </c>
      <c r="G43" s="38">
        <v>0.23497293</v>
      </c>
      <c r="H43" s="38">
        <v>0.17146364</v>
      </c>
      <c r="I43" s="38">
        <v>0.22852288000000001</v>
      </c>
      <c r="J43" s="38">
        <v>1.5811623E-2</v>
      </c>
      <c r="K43" s="38">
        <v>0</v>
      </c>
      <c r="L43" s="40">
        <v>0.85944475300000001</v>
      </c>
    </row>
    <row r="44" spans="1:12" hidden="1">
      <c r="A44" s="37" t="s">
        <v>823</v>
      </c>
      <c r="B44" s="37"/>
      <c r="C44" s="37" t="s">
        <v>634</v>
      </c>
      <c r="D44" s="64">
        <v>13002</v>
      </c>
      <c r="E44" s="38">
        <v>2.68</v>
      </c>
      <c r="F44" s="39">
        <v>0.36854012000000003</v>
      </c>
      <c r="G44" s="38">
        <v>0</v>
      </c>
      <c r="H44" s="38">
        <v>0</v>
      </c>
      <c r="I44" s="38">
        <v>0.59153752000000004</v>
      </c>
      <c r="J44" s="38">
        <v>1.0800275999999999E-2</v>
      </c>
      <c r="K44" s="38">
        <v>0.32140418999999998</v>
      </c>
      <c r="L44" s="40">
        <v>1.292282106</v>
      </c>
    </row>
    <row r="45" spans="1:12" hidden="1">
      <c r="A45" s="37" t="s">
        <v>824</v>
      </c>
      <c r="B45" s="37"/>
      <c r="C45" s="37" t="s">
        <v>782</v>
      </c>
      <c r="D45" s="64">
        <v>26177</v>
      </c>
      <c r="E45" s="38">
        <v>3.78</v>
      </c>
      <c r="F45" s="39">
        <v>0.92011953999999996</v>
      </c>
      <c r="G45" s="38">
        <v>0</v>
      </c>
      <c r="H45" s="38">
        <v>0.27530876999999998</v>
      </c>
      <c r="I45" s="38">
        <v>0.90277483999999997</v>
      </c>
      <c r="J45" s="38">
        <v>3.7353873000000003E-2</v>
      </c>
      <c r="K45" s="38">
        <v>6.6736979E-3</v>
      </c>
      <c r="L45" s="40">
        <v>2.1422307208999998</v>
      </c>
    </row>
    <row r="46" spans="1:12" hidden="1">
      <c r="A46" s="37" t="s">
        <v>825</v>
      </c>
      <c r="B46" s="37"/>
      <c r="C46" s="37" t="s">
        <v>826</v>
      </c>
      <c r="D46" s="64">
        <v>26079</v>
      </c>
      <c r="E46" s="38">
        <v>3.1</v>
      </c>
      <c r="F46" s="39">
        <v>0.92011953999999996</v>
      </c>
      <c r="G46" s="38">
        <v>0</v>
      </c>
      <c r="H46" s="38">
        <v>0.27530876999999998</v>
      </c>
      <c r="I46" s="38">
        <v>0.90277483999999997</v>
      </c>
      <c r="J46" s="38">
        <v>3.7353873000000003E-2</v>
      </c>
      <c r="K46" s="38">
        <v>6.6736979E-3</v>
      </c>
      <c r="L46" s="40">
        <v>2.1422307208999998</v>
      </c>
    </row>
    <row r="47" spans="1:12" hidden="1">
      <c r="A47" s="37" t="s">
        <v>827</v>
      </c>
      <c r="B47" s="37"/>
      <c r="C47" s="37" t="s">
        <v>782</v>
      </c>
      <c r="D47" s="64">
        <v>26187</v>
      </c>
      <c r="E47" s="38">
        <v>3.1</v>
      </c>
      <c r="F47" s="39">
        <v>0.78345377000000005</v>
      </c>
      <c r="G47" s="38">
        <v>0.16776874</v>
      </c>
      <c r="H47" s="38">
        <v>0.27727707000000001</v>
      </c>
      <c r="I47" s="38">
        <v>0.53398513999999997</v>
      </c>
      <c r="J47" s="38">
        <v>3.7768032999999999E-2</v>
      </c>
      <c r="K47" s="38">
        <v>6.6736979E-3</v>
      </c>
      <c r="L47" s="40">
        <v>1.8069264509</v>
      </c>
    </row>
    <row r="48" spans="1:12" hidden="1">
      <c r="A48" s="37" t="s">
        <v>828</v>
      </c>
      <c r="B48" s="37"/>
      <c r="C48" s="37" t="s">
        <v>782</v>
      </c>
      <c r="D48" s="64">
        <v>26000</v>
      </c>
      <c r="E48" s="38">
        <v>3.57</v>
      </c>
      <c r="F48" s="39">
        <v>0.75269260999999998</v>
      </c>
      <c r="G48" s="38">
        <v>0.16689915999999999</v>
      </c>
      <c r="H48" s="38">
        <v>0.27727707000000001</v>
      </c>
      <c r="I48" s="38">
        <v>0.52048766000000002</v>
      </c>
      <c r="J48" s="38">
        <v>3.7768032999999999E-2</v>
      </c>
      <c r="K48" s="38">
        <v>6.6736979E-3</v>
      </c>
      <c r="L48" s="40">
        <v>1.7617982309000002</v>
      </c>
    </row>
    <row r="49" spans="1:12" hidden="1">
      <c r="A49" s="37" t="s">
        <v>829</v>
      </c>
      <c r="B49" s="37"/>
      <c r="C49" s="37" t="s">
        <v>782</v>
      </c>
      <c r="D49" s="64">
        <v>25999</v>
      </c>
      <c r="E49" s="38">
        <v>3.1</v>
      </c>
      <c r="F49" s="39">
        <v>0.75269260999999998</v>
      </c>
      <c r="G49" s="38">
        <v>0.16689915999999999</v>
      </c>
      <c r="H49" s="38">
        <v>0.27727707000000001</v>
      </c>
      <c r="I49" s="38">
        <v>0.52048766000000002</v>
      </c>
      <c r="J49" s="38">
        <v>3.7768032999999999E-2</v>
      </c>
      <c r="K49" s="38">
        <v>6.6736979E-3</v>
      </c>
      <c r="L49" s="40">
        <v>1.7617982309000002</v>
      </c>
    </row>
    <row r="50" spans="1:12" hidden="1">
      <c r="A50" s="37" t="s">
        <v>830</v>
      </c>
      <c r="B50" s="37"/>
      <c r="C50" s="37" t="s">
        <v>631</v>
      </c>
      <c r="D50" s="64">
        <v>8500</v>
      </c>
      <c r="E50" s="38">
        <v>2.82</v>
      </c>
      <c r="F50" s="39">
        <v>13.697449000000001</v>
      </c>
      <c r="G50" s="38">
        <v>1.0024921</v>
      </c>
      <c r="H50" s="38">
        <v>0.73869434</v>
      </c>
      <c r="I50" s="38">
        <v>0.21885163999999999</v>
      </c>
      <c r="J50" s="38">
        <v>3.7768032999999999E-2</v>
      </c>
      <c r="K50" s="38">
        <v>9.2564276000000001E-2</v>
      </c>
      <c r="L50" s="40">
        <v>15.787819389000001</v>
      </c>
    </row>
    <row r="51" spans="1:12" hidden="1">
      <c r="A51" s="37" t="s">
        <v>831</v>
      </c>
      <c r="B51" s="37"/>
      <c r="C51" s="37" t="s">
        <v>631</v>
      </c>
      <c r="D51" s="64">
        <v>8501</v>
      </c>
      <c r="E51" s="38">
        <v>2.82</v>
      </c>
      <c r="F51" s="39">
        <v>13.697449000000001</v>
      </c>
      <c r="G51" s="38">
        <v>1.0024921</v>
      </c>
      <c r="H51" s="38">
        <v>0.73869434</v>
      </c>
      <c r="I51" s="38">
        <v>0.21885163999999999</v>
      </c>
      <c r="J51" s="38">
        <v>3.7768032999999999E-2</v>
      </c>
      <c r="K51" s="38">
        <v>9.2564276000000001E-2</v>
      </c>
      <c r="L51" s="40">
        <v>15.787819389000001</v>
      </c>
    </row>
    <row r="52" spans="1:12" hidden="1">
      <c r="A52" s="37" t="s">
        <v>832</v>
      </c>
      <c r="B52" s="37"/>
      <c r="C52" s="37" t="s">
        <v>631</v>
      </c>
      <c r="D52" s="64">
        <v>8512</v>
      </c>
      <c r="E52" s="38">
        <v>2.82</v>
      </c>
      <c r="F52" s="39">
        <v>13.697449000000001</v>
      </c>
      <c r="G52" s="38">
        <v>1.0024921</v>
      </c>
      <c r="H52" s="38">
        <v>0.73869434</v>
      </c>
      <c r="I52" s="38">
        <v>0.21885163999999999</v>
      </c>
      <c r="J52" s="38">
        <v>3.7768032999999999E-2</v>
      </c>
      <c r="K52" s="38">
        <v>9.2564276000000001E-2</v>
      </c>
      <c r="L52" s="40">
        <v>15.787819389000001</v>
      </c>
    </row>
    <row r="53" spans="1:12" hidden="1">
      <c r="A53" s="37" t="s">
        <v>833</v>
      </c>
      <c r="B53" s="37"/>
      <c r="C53" s="37" t="s">
        <v>631</v>
      </c>
      <c r="D53" s="64">
        <v>8504</v>
      </c>
      <c r="E53" s="38">
        <v>2.82</v>
      </c>
      <c r="F53" s="39">
        <v>13.697449000000001</v>
      </c>
      <c r="G53" s="38">
        <v>1.0024921</v>
      </c>
      <c r="H53" s="38">
        <v>0.73869434</v>
      </c>
      <c r="I53" s="38">
        <v>0.21885163999999999</v>
      </c>
      <c r="J53" s="38">
        <v>3.7768032999999999E-2</v>
      </c>
      <c r="K53" s="38">
        <v>9.2564276000000001E-2</v>
      </c>
      <c r="L53" s="40">
        <v>15.787819389000001</v>
      </c>
    </row>
    <row r="54" spans="1:12" hidden="1">
      <c r="A54" s="37" t="s">
        <v>834</v>
      </c>
      <c r="B54" s="37"/>
      <c r="C54" s="37" t="s">
        <v>631</v>
      </c>
      <c r="D54" s="64">
        <v>8552</v>
      </c>
      <c r="E54" s="38">
        <v>2.81</v>
      </c>
      <c r="F54" s="39">
        <v>13.697449000000001</v>
      </c>
      <c r="G54" s="38">
        <v>1.0024921</v>
      </c>
      <c r="H54" s="38">
        <v>0.73869434</v>
      </c>
      <c r="I54" s="38">
        <v>0.21885163999999999</v>
      </c>
      <c r="J54" s="38">
        <v>3.7768032999999999E-2</v>
      </c>
      <c r="K54" s="38">
        <v>6.6736979E-3</v>
      </c>
      <c r="L54" s="40">
        <v>15.701928810900002</v>
      </c>
    </row>
    <row r="55" spans="1:12" hidden="1">
      <c r="A55" s="37" t="s">
        <v>835</v>
      </c>
      <c r="B55" s="37"/>
      <c r="C55" s="37" t="s">
        <v>631</v>
      </c>
      <c r="D55" s="64">
        <v>8550</v>
      </c>
      <c r="E55" s="38">
        <v>2.81</v>
      </c>
      <c r="F55" s="39">
        <v>13.697449000000001</v>
      </c>
      <c r="G55" s="38">
        <v>1.0024921</v>
      </c>
      <c r="H55" s="38">
        <v>0.73869434</v>
      </c>
      <c r="I55" s="38">
        <v>0.21885163999999999</v>
      </c>
      <c r="J55" s="38">
        <v>3.7768032999999999E-2</v>
      </c>
      <c r="K55" s="38">
        <v>6.6736979E-3</v>
      </c>
      <c r="L55" s="40">
        <v>15.701928810900002</v>
      </c>
    </row>
    <row r="56" spans="1:12" hidden="1">
      <c r="A56" s="37" t="s">
        <v>836</v>
      </c>
      <c r="B56" s="37"/>
      <c r="C56" s="37" t="s">
        <v>631</v>
      </c>
      <c r="D56" s="64">
        <v>8551</v>
      </c>
      <c r="E56" s="38">
        <v>2.82</v>
      </c>
      <c r="F56" s="39">
        <v>13.697449000000001</v>
      </c>
      <c r="G56" s="38">
        <v>1.0024921</v>
      </c>
      <c r="H56" s="38">
        <v>0.73869434</v>
      </c>
      <c r="I56" s="38">
        <v>0.21885163999999999</v>
      </c>
      <c r="J56" s="38">
        <v>3.7768032999999999E-2</v>
      </c>
      <c r="K56" s="38">
        <v>9.2564276000000001E-2</v>
      </c>
      <c r="L56" s="40">
        <v>15.787819389000001</v>
      </c>
    </row>
    <row r="57" spans="1:12" hidden="1">
      <c r="A57" s="37" t="s">
        <v>837</v>
      </c>
      <c r="B57" s="37"/>
      <c r="C57" s="37" t="s">
        <v>807</v>
      </c>
      <c r="D57" s="64">
        <v>11093</v>
      </c>
      <c r="E57" s="38">
        <v>3.75</v>
      </c>
      <c r="F57" s="39">
        <v>0.22186655999999999</v>
      </c>
      <c r="G57" s="38">
        <v>0</v>
      </c>
      <c r="H57" s="38">
        <v>0.32904318999999999</v>
      </c>
      <c r="I57" s="38">
        <v>0.16258027</v>
      </c>
      <c r="J57" s="38">
        <v>1.9594963E-2</v>
      </c>
      <c r="K57" s="38">
        <v>8.0351048999999994E-2</v>
      </c>
      <c r="L57" s="40">
        <v>0.81343603199999992</v>
      </c>
    </row>
    <row r="58" spans="1:12" hidden="1">
      <c r="A58" s="41" t="s">
        <v>838</v>
      </c>
      <c r="B58" s="41"/>
      <c r="C58" s="41" t="s">
        <v>784</v>
      </c>
      <c r="D58" s="65">
        <v>20995</v>
      </c>
      <c r="E58" s="42">
        <v>2.99</v>
      </c>
      <c r="F58" s="43">
        <v>4.5528129000000002</v>
      </c>
      <c r="G58" s="42">
        <v>1.4896054000000001</v>
      </c>
      <c r="H58" s="42">
        <v>0.28987795999999999</v>
      </c>
      <c r="I58" s="42">
        <v>0.38352982000000002</v>
      </c>
      <c r="J58" s="42">
        <v>2.0039066000000001E-2</v>
      </c>
      <c r="K58" s="42">
        <v>9.9403358999999997E-3</v>
      </c>
      <c r="L58" s="44">
        <v>6.7458054818999997</v>
      </c>
    </row>
    <row r="59" spans="1:12" hidden="1">
      <c r="A59" s="41" t="s">
        <v>839</v>
      </c>
      <c r="B59" s="41"/>
      <c r="C59" s="41" t="s">
        <v>657</v>
      </c>
      <c r="D59" s="65">
        <v>1007</v>
      </c>
      <c r="E59" s="42">
        <v>2.48</v>
      </c>
      <c r="F59" s="43">
        <v>0.30160090000000001</v>
      </c>
      <c r="G59" s="42">
        <v>9.9908833000000002E-2</v>
      </c>
      <c r="H59" s="42">
        <v>0.47782284000000003</v>
      </c>
      <c r="I59" s="42">
        <v>0.18787321000000001</v>
      </c>
      <c r="J59" s="42">
        <v>1.5108570999999999E-2</v>
      </c>
      <c r="K59" s="42">
        <v>6.6736979E-3</v>
      </c>
      <c r="L59" s="44">
        <v>1.0889880519000001</v>
      </c>
    </row>
    <row r="60" spans="1:12" hidden="1">
      <c r="A60" s="37" t="s">
        <v>840</v>
      </c>
      <c r="B60" s="37"/>
      <c r="C60" s="37" t="s">
        <v>637</v>
      </c>
      <c r="D60" s="64">
        <v>20581</v>
      </c>
      <c r="E60" s="38">
        <v>3.53</v>
      </c>
      <c r="F60" s="39">
        <v>3.5179081000000001</v>
      </c>
      <c r="G60" s="38">
        <v>0.19366700000000001</v>
      </c>
      <c r="H60" s="38">
        <v>0.34882972000000001</v>
      </c>
      <c r="I60" s="38">
        <v>0.15896215</v>
      </c>
      <c r="J60" s="38">
        <v>2.2656431000000001E-2</v>
      </c>
      <c r="K60" s="38">
        <v>1.1022624E-2</v>
      </c>
      <c r="L60" s="40">
        <v>4.2530460249999997</v>
      </c>
    </row>
    <row r="61" spans="1:12" hidden="1">
      <c r="A61" s="37" t="s">
        <v>841</v>
      </c>
      <c r="B61" s="37"/>
      <c r="C61" s="37" t="s">
        <v>842</v>
      </c>
      <c r="D61" s="64">
        <v>20067</v>
      </c>
      <c r="E61" s="38">
        <v>2.78</v>
      </c>
      <c r="F61" s="39">
        <v>0.64870930999999998</v>
      </c>
      <c r="G61" s="38">
        <v>0.4924037</v>
      </c>
      <c r="H61" s="38">
        <v>0.28666545999999998</v>
      </c>
      <c r="I61" s="38">
        <v>0.38998260000000001</v>
      </c>
      <c r="J61" s="38">
        <v>2.6405411E-2</v>
      </c>
      <c r="K61" s="38">
        <v>0</v>
      </c>
      <c r="L61" s="40">
        <v>1.844166481</v>
      </c>
    </row>
    <row r="62" spans="1:12" hidden="1">
      <c r="A62" s="37" t="s">
        <v>843</v>
      </c>
      <c r="B62" s="37"/>
      <c r="C62" s="37" t="s">
        <v>842</v>
      </c>
      <c r="D62" s="64">
        <v>20155</v>
      </c>
      <c r="E62" s="38">
        <v>2.78</v>
      </c>
      <c r="F62" s="39">
        <v>0.64870930999999998</v>
      </c>
      <c r="G62" s="38">
        <v>0.4924037</v>
      </c>
      <c r="H62" s="38">
        <v>0.28666545999999998</v>
      </c>
      <c r="I62" s="38">
        <v>0.38998260000000001</v>
      </c>
      <c r="J62" s="38">
        <v>2.6405411E-2</v>
      </c>
      <c r="K62" s="38">
        <v>0</v>
      </c>
      <c r="L62" s="40">
        <v>1.844166481</v>
      </c>
    </row>
    <row r="63" spans="1:12" hidden="1">
      <c r="A63" s="37" t="s">
        <v>844</v>
      </c>
      <c r="B63" s="37"/>
      <c r="C63" s="37" t="s">
        <v>842</v>
      </c>
      <c r="D63" s="64">
        <v>20052</v>
      </c>
      <c r="E63" s="38">
        <v>2.4300000000000002</v>
      </c>
      <c r="F63" s="39">
        <v>1.4243398</v>
      </c>
      <c r="G63" s="38">
        <v>0</v>
      </c>
      <c r="H63" s="38">
        <v>0</v>
      </c>
      <c r="I63" s="38">
        <v>1.0942501</v>
      </c>
      <c r="J63" s="38">
        <v>7.2722367999999996E-2</v>
      </c>
      <c r="K63" s="38">
        <v>1.2856167999999999</v>
      </c>
      <c r="L63" s="40">
        <v>3.8769290679999999</v>
      </c>
    </row>
    <row r="64" spans="1:12" hidden="1">
      <c r="A64" s="37" t="s">
        <v>845</v>
      </c>
      <c r="B64" s="37"/>
      <c r="C64" s="37" t="s">
        <v>842</v>
      </c>
      <c r="D64" s="64">
        <v>20000</v>
      </c>
      <c r="E64" s="38">
        <v>3.08</v>
      </c>
      <c r="F64" s="39">
        <v>0.41595280000000001</v>
      </c>
      <c r="G64" s="38">
        <v>0</v>
      </c>
      <c r="H64" s="38">
        <v>0.28002042999999999</v>
      </c>
      <c r="I64" s="38">
        <v>0.3335497</v>
      </c>
      <c r="J64" s="38">
        <v>2.1237259000000001E-2</v>
      </c>
      <c r="K64" s="38">
        <v>0.19993026999999999</v>
      </c>
      <c r="L64" s="40">
        <v>1.2506904590000001</v>
      </c>
    </row>
    <row r="65" spans="1:12" hidden="1">
      <c r="A65" s="37" t="s">
        <v>846</v>
      </c>
      <c r="B65" s="37"/>
      <c r="C65" s="37" t="s">
        <v>842</v>
      </c>
      <c r="D65" s="64">
        <v>20156</v>
      </c>
      <c r="E65" s="38">
        <v>2.59</v>
      </c>
      <c r="F65" s="39">
        <v>0.64626004000000004</v>
      </c>
      <c r="G65" s="38">
        <v>0.51949495000000001</v>
      </c>
      <c r="H65" s="38">
        <v>0.32621795999999997</v>
      </c>
      <c r="I65" s="38">
        <v>0.43398167999999998</v>
      </c>
      <c r="J65" s="38">
        <v>3.0042084E-2</v>
      </c>
      <c r="K65" s="38">
        <v>0</v>
      </c>
      <c r="L65" s="40">
        <v>1.9559967139999999</v>
      </c>
    </row>
    <row r="66" spans="1:12" hidden="1">
      <c r="A66" s="37" t="s">
        <v>847</v>
      </c>
      <c r="B66" s="37"/>
      <c r="C66" s="37" t="s">
        <v>842</v>
      </c>
      <c r="D66" s="64">
        <v>20232</v>
      </c>
      <c r="E66" s="38">
        <v>2.95</v>
      </c>
      <c r="F66" s="39">
        <v>0.64415765999999997</v>
      </c>
      <c r="G66" s="38">
        <v>0.35880623</v>
      </c>
      <c r="H66" s="38">
        <v>0.26232822</v>
      </c>
      <c r="I66" s="38">
        <v>0.25189959000000001</v>
      </c>
      <c r="J66" s="38">
        <v>6.8654974999999993E-2</v>
      </c>
      <c r="K66" s="38">
        <v>2.5251829999999999E-2</v>
      </c>
      <c r="L66" s="40">
        <v>1.611098505</v>
      </c>
    </row>
    <row r="67" spans="1:12" hidden="1">
      <c r="A67" s="37" t="s">
        <v>848</v>
      </c>
      <c r="B67" s="37"/>
      <c r="C67" s="37" t="s">
        <v>784</v>
      </c>
      <c r="D67" s="64">
        <v>20998</v>
      </c>
      <c r="E67" s="38">
        <v>2.99</v>
      </c>
      <c r="F67" s="39">
        <v>4.5528129000000002</v>
      </c>
      <c r="G67" s="38">
        <v>1.4896054000000001</v>
      </c>
      <c r="H67" s="38">
        <v>0.28987795999999999</v>
      </c>
      <c r="I67" s="38">
        <v>0.19846865999999999</v>
      </c>
      <c r="J67" s="38">
        <v>2.0039066000000001E-2</v>
      </c>
      <c r="K67" s="38">
        <v>9.9403358999999997E-3</v>
      </c>
      <c r="L67" s="40">
        <v>6.5607443218999997</v>
      </c>
    </row>
    <row r="68" spans="1:12" hidden="1">
      <c r="A68" s="37" t="s">
        <v>849</v>
      </c>
      <c r="B68" s="37"/>
      <c r="C68" s="37" t="s">
        <v>640</v>
      </c>
      <c r="D68" s="64">
        <v>12761</v>
      </c>
      <c r="E68" s="38">
        <v>2.2400000000000002</v>
      </c>
      <c r="F68" s="39">
        <v>4.9610449000000001</v>
      </c>
      <c r="G68" s="38">
        <v>0.41489404000000002</v>
      </c>
      <c r="H68" s="38">
        <v>0.26233268999999998</v>
      </c>
      <c r="I68" s="38">
        <v>0.21100323000000001</v>
      </c>
      <c r="J68" s="38">
        <v>3.5969872999999999E-2</v>
      </c>
      <c r="K68" s="38">
        <v>6.6736979E-3</v>
      </c>
      <c r="L68" s="40">
        <v>5.8919184309000006</v>
      </c>
    </row>
    <row r="69" spans="1:12" hidden="1">
      <c r="A69" s="37" t="s">
        <v>850</v>
      </c>
      <c r="B69" s="37"/>
      <c r="C69" s="37" t="s">
        <v>842</v>
      </c>
      <c r="D69" s="64">
        <v>20076</v>
      </c>
      <c r="E69" s="38">
        <v>2.63</v>
      </c>
      <c r="F69" s="39">
        <v>0.53228896000000003</v>
      </c>
      <c r="G69" s="38">
        <v>0.20304948</v>
      </c>
      <c r="H69" s="38">
        <v>0.17182761999999999</v>
      </c>
      <c r="I69" s="38">
        <v>0.23094514999999999</v>
      </c>
      <c r="J69" s="38">
        <v>1.5811623E-2</v>
      </c>
      <c r="K69" s="38">
        <v>0</v>
      </c>
      <c r="L69" s="40">
        <v>1.153922833</v>
      </c>
    </row>
    <row r="70" spans="1:12" hidden="1">
      <c r="A70" s="37" t="s">
        <v>851</v>
      </c>
      <c r="B70" s="37"/>
      <c r="C70" s="37" t="s">
        <v>842</v>
      </c>
      <c r="D70" s="64">
        <v>20282</v>
      </c>
      <c r="E70" s="38">
        <v>2.2599999999999998</v>
      </c>
      <c r="F70" s="39">
        <v>0.93812691000000004</v>
      </c>
      <c r="G70" s="38">
        <v>0</v>
      </c>
      <c r="H70" s="38">
        <v>0</v>
      </c>
      <c r="I70" s="38">
        <v>0.38261077999999998</v>
      </c>
      <c r="J70" s="38">
        <v>2.4289271000000001E-2</v>
      </c>
      <c r="K70" s="38">
        <v>0.21428211999999999</v>
      </c>
      <c r="L70" s="40">
        <v>1.5593090810000001</v>
      </c>
    </row>
    <row r="71" spans="1:12" hidden="1">
      <c r="A71" s="37" t="s">
        <v>852</v>
      </c>
      <c r="B71" s="37"/>
      <c r="C71" s="37" t="s">
        <v>842</v>
      </c>
      <c r="D71" s="64">
        <v>20001</v>
      </c>
      <c r="E71" s="38">
        <v>2.69</v>
      </c>
      <c r="F71" s="39">
        <v>1.0937323999999999</v>
      </c>
      <c r="G71" s="38">
        <v>0</v>
      </c>
      <c r="H71" s="38">
        <v>0.33889314999999998</v>
      </c>
      <c r="I71" s="38">
        <v>0.46466083000000002</v>
      </c>
      <c r="J71" s="38">
        <v>2.8318090000000001E-2</v>
      </c>
      <c r="K71" s="38">
        <v>0.32031016000000001</v>
      </c>
      <c r="L71" s="40">
        <v>2.2459146300000001</v>
      </c>
    </row>
    <row r="72" spans="1:12" hidden="1">
      <c r="A72" s="37" t="s">
        <v>853</v>
      </c>
      <c r="B72" s="37"/>
      <c r="C72" s="37" t="s">
        <v>842</v>
      </c>
      <c r="D72" s="64">
        <v>20073</v>
      </c>
      <c r="E72" s="38">
        <v>2.2599999999999998</v>
      </c>
      <c r="F72" s="39">
        <v>0.93812691000000004</v>
      </c>
      <c r="G72" s="38">
        <v>0</v>
      </c>
      <c r="H72" s="38">
        <v>0</v>
      </c>
      <c r="I72" s="38">
        <v>0.38261077999999998</v>
      </c>
      <c r="J72" s="38">
        <v>2.4289271000000001E-2</v>
      </c>
      <c r="K72" s="38">
        <v>8.0351048999999994E-2</v>
      </c>
      <c r="L72" s="40">
        <v>1.42537801</v>
      </c>
    </row>
    <row r="73" spans="1:12" hidden="1">
      <c r="A73" s="37" t="s">
        <v>854</v>
      </c>
      <c r="B73" s="37"/>
      <c r="C73" s="37" t="s">
        <v>842</v>
      </c>
      <c r="D73" s="64">
        <v>20279</v>
      </c>
      <c r="E73" s="38">
        <v>2.2599999999999998</v>
      </c>
      <c r="F73" s="39">
        <v>0.93812691000000004</v>
      </c>
      <c r="G73" s="38">
        <v>0</v>
      </c>
      <c r="H73" s="38">
        <v>0</v>
      </c>
      <c r="I73" s="38">
        <v>0.38261077999999998</v>
      </c>
      <c r="J73" s="38">
        <v>2.4289271000000001E-2</v>
      </c>
      <c r="K73" s="38">
        <v>0.21428211999999999</v>
      </c>
      <c r="L73" s="40">
        <v>1.5593090810000001</v>
      </c>
    </row>
    <row r="74" spans="1:12" hidden="1">
      <c r="A74" s="37" t="s">
        <v>855</v>
      </c>
      <c r="B74" s="37"/>
      <c r="C74" s="37" t="s">
        <v>842</v>
      </c>
      <c r="D74" s="64">
        <v>20053</v>
      </c>
      <c r="E74" s="38">
        <v>2.5299999999999998</v>
      </c>
      <c r="F74" s="39">
        <v>0.19572713999999999</v>
      </c>
      <c r="G74" s="38">
        <v>0</v>
      </c>
      <c r="H74" s="38">
        <v>0</v>
      </c>
      <c r="I74" s="38">
        <v>0.24073502999999999</v>
      </c>
      <c r="J74" s="38">
        <v>1.4917201E-2</v>
      </c>
      <c r="K74" s="38">
        <v>5.7299719000000002E-3</v>
      </c>
      <c r="L74" s="40">
        <v>0.45710934289999999</v>
      </c>
    </row>
    <row r="75" spans="1:12" hidden="1">
      <c r="A75" s="37" t="s">
        <v>856</v>
      </c>
      <c r="B75" s="37"/>
      <c r="C75" s="37" t="s">
        <v>842</v>
      </c>
      <c r="D75" s="64">
        <v>20002</v>
      </c>
      <c r="E75" s="38">
        <v>2.89</v>
      </c>
      <c r="F75" s="39">
        <v>0.21427774999999999</v>
      </c>
      <c r="G75" s="38">
        <v>0</v>
      </c>
      <c r="H75" s="38">
        <v>0.23106910999999999</v>
      </c>
      <c r="I75" s="38">
        <v>0.27509253</v>
      </c>
      <c r="J75" s="38">
        <v>1.6331022000000001E-2</v>
      </c>
      <c r="K75" s="38">
        <v>0.10755372000000001</v>
      </c>
      <c r="L75" s="40">
        <v>0.844324132</v>
      </c>
    </row>
    <row r="76" spans="1:12" hidden="1">
      <c r="A76" s="37" t="s">
        <v>857</v>
      </c>
      <c r="B76" s="37"/>
      <c r="C76" s="37" t="s">
        <v>842</v>
      </c>
      <c r="D76" s="64">
        <v>13004</v>
      </c>
      <c r="E76" s="38">
        <v>2.2599999999999998</v>
      </c>
      <c r="F76" s="39">
        <v>0.86139180999999998</v>
      </c>
      <c r="G76" s="38">
        <v>0</v>
      </c>
      <c r="H76" s="38">
        <v>0</v>
      </c>
      <c r="I76" s="38">
        <v>0.46369755000000001</v>
      </c>
      <c r="J76" s="38">
        <v>1.7811292999999999E-2</v>
      </c>
      <c r="K76" s="38">
        <v>0.13756958</v>
      </c>
      <c r="L76" s="40">
        <v>1.4804702330000001</v>
      </c>
    </row>
    <row r="77" spans="1:12" hidden="1">
      <c r="A77" s="37" t="s">
        <v>858</v>
      </c>
      <c r="B77" s="37"/>
      <c r="C77" s="37" t="s">
        <v>816</v>
      </c>
      <c r="D77" s="64">
        <v>9310</v>
      </c>
      <c r="E77" s="38">
        <v>3.6</v>
      </c>
      <c r="F77" s="39">
        <v>0.73857344999999996</v>
      </c>
      <c r="G77" s="38">
        <v>0</v>
      </c>
      <c r="H77" s="38">
        <v>0.26506589000000003</v>
      </c>
      <c r="I77" s="38">
        <v>0.13112868999999999</v>
      </c>
      <c r="J77" s="38">
        <v>1.606076E-2</v>
      </c>
      <c r="K77" s="38">
        <v>0</v>
      </c>
      <c r="L77" s="40">
        <v>1.1508287899999998</v>
      </c>
    </row>
    <row r="78" spans="1:12" hidden="1">
      <c r="A78" s="41" t="s">
        <v>859</v>
      </c>
      <c r="B78" s="41"/>
      <c r="C78" s="41" t="s">
        <v>668</v>
      </c>
      <c r="D78" s="65">
        <v>19688</v>
      </c>
      <c r="E78" s="42">
        <v>2.14</v>
      </c>
      <c r="F78" s="43">
        <v>0.18070091999999999</v>
      </c>
      <c r="G78" s="42">
        <v>0.25472927000000001</v>
      </c>
      <c r="H78" s="42">
        <v>0.28778736999999999</v>
      </c>
      <c r="I78" s="42">
        <v>0.11977155</v>
      </c>
      <c r="J78" s="42">
        <v>1.9437894000000001E-2</v>
      </c>
      <c r="K78" s="42">
        <v>0</v>
      </c>
      <c r="L78" s="44">
        <v>0.86242700399999994</v>
      </c>
    </row>
    <row r="79" spans="1:12" hidden="1">
      <c r="A79" s="37" t="s">
        <v>860</v>
      </c>
      <c r="B79" s="37"/>
      <c r="C79" s="37" t="s">
        <v>861</v>
      </c>
      <c r="D79" s="64">
        <v>7258</v>
      </c>
      <c r="E79" s="38">
        <v>1.95</v>
      </c>
      <c r="F79" s="39">
        <v>0.48022110000000001</v>
      </c>
      <c r="G79" s="38">
        <v>0.18535513000000001</v>
      </c>
      <c r="H79" s="38">
        <v>6.7754080999999997E-3</v>
      </c>
      <c r="I79" s="38">
        <v>0.11204459</v>
      </c>
      <c r="J79" s="38">
        <v>4.7861880000000002E-3</v>
      </c>
      <c r="K79" s="38">
        <v>0</v>
      </c>
      <c r="L79" s="40">
        <v>0.78918241609999995</v>
      </c>
    </row>
    <row r="80" spans="1:12" hidden="1">
      <c r="A80" s="37" t="s">
        <v>862</v>
      </c>
      <c r="B80" s="37"/>
      <c r="C80" s="37" t="s">
        <v>668</v>
      </c>
      <c r="D80" s="64">
        <v>23300</v>
      </c>
      <c r="E80" s="38">
        <v>2.59</v>
      </c>
      <c r="F80" s="39">
        <v>1.7689769</v>
      </c>
      <c r="G80" s="38">
        <v>0.34650971000000003</v>
      </c>
      <c r="H80" s="38">
        <v>0.28779790999999999</v>
      </c>
      <c r="I80" s="38">
        <v>0.22344523999999999</v>
      </c>
      <c r="J80" s="38">
        <v>1.9437894000000001E-2</v>
      </c>
      <c r="K80" s="38">
        <v>0</v>
      </c>
      <c r="L80" s="40">
        <v>2.6461676540000001</v>
      </c>
    </row>
    <row r="81" spans="1:12" hidden="1">
      <c r="A81" s="37" t="s">
        <v>863</v>
      </c>
      <c r="B81" s="37"/>
      <c r="C81" s="37" t="s">
        <v>842</v>
      </c>
      <c r="D81" s="64">
        <v>20198</v>
      </c>
      <c r="E81" s="38">
        <v>2.6</v>
      </c>
      <c r="F81" s="39">
        <v>0.7021908</v>
      </c>
      <c r="G81" s="38">
        <v>0</v>
      </c>
      <c r="H81" s="38">
        <v>0</v>
      </c>
      <c r="I81" s="38">
        <v>0.27356253000000003</v>
      </c>
      <c r="J81" s="38">
        <v>1.8180591999999999E-2</v>
      </c>
      <c r="K81" s="38">
        <v>8.0351048999999994E-2</v>
      </c>
      <c r="L81" s="40">
        <v>1.074284971</v>
      </c>
    </row>
    <row r="82" spans="1:12" hidden="1">
      <c r="A82" s="37" t="s">
        <v>864</v>
      </c>
      <c r="B82" s="37"/>
      <c r="C82" s="37" t="s">
        <v>842</v>
      </c>
      <c r="D82" s="64">
        <v>20188</v>
      </c>
      <c r="E82" s="38">
        <v>2.93</v>
      </c>
      <c r="F82" s="39">
        <v>0.63870413999999998</v>
      </c>
      <c r="G82" s="38">
        <v>0.28053826999999998</v>
      </c>
      <c r="H82" s="38">
        <v>0.32449560999999999</v>
      </c>
      <c r="I82" s="38">
        <v>0.39813367999999999</v>
      </c>
      <c r="J82" s="38">
        <v>2.9883968E-2</v>
      </c>
      <c r="K82" s="38">
        <v>0</v>
      </c>
      <c r="L82" s="40">
        <v>1.6717556679999999</v>
      </c>
    </row>
    <row r="83" spans="1:12" hidden="1">
      <c r="A83" s="37" t="s">
        <v>865</v>
      </c>
      <c r="B83" s="37"/>
      <c r="C83" s="37" t="s">
        <v>842</v>
      </c>
      <c r="D83" s="64">
        <v>53100</v>
      </c>
      <c r="E83" s="38">
        <v>2.6</v>
      </c>
      <c r="F83" s="39">
        <v>0.21991067</v>
      </c>
      <c r="G83" s="38">
        <v>0</v>
      </c>
      <c r="H83" s="38">
        <v>0</v>
      </c>
      <c r="I83" s="38">
        <v>0.41168882000000001</v>
      </c>
      <c r="J83" s="38">
        <v>1.2217853000000001E-2</v>
      </c>
      <c r="K83" s="38">
        <v>8.0351048999999994E-2</v>
      </c>
      <c r="L83" s="40">
        <v>0.72416839200000005</v>
      </c>
    </row>
    <row r="84" spans="1:12" hidden="1">
      <c r="A84" s="37" t="s">
        <v>866</v>
      </c>
      <c r="B84" s="37"/>
      <c r="C84" s="37" t="s">
        <v>628</v>
      </c>
      <c r="D84" s="64">
        <v>53101</v>
      </c>
      <c r="E84" s="38">
        <v>3</v>
      </c>
      <c r="F84" s="39">
        <v>0.31311091000000002</v>
      </c>
      <c r="G84" s="38">
        <v>0</v>
      </c>
      <c r="H84" s="38">
        <v>0.34149902999999998</v>
      </c>
      <c r="I84" s="38">
        <v>0.44674081999999998</v>
      </c>
      <c r="J84" s="38">
        <v>1.7395896000000001E-2</v>
      </c>
      <c r="K84" s="38">
        <v>0.22050236000000001</v>
      </c>
      <c r="L84" s="40">
        <v>1.3392490160000001</v>
      </c>
    </row>
    <row r="85" spans="1:12" hidden="1">
      <c r="A85" s="37" t="s">
        <v>867</v>
      </c>
      <c r="B85" s="37"/>
      <c r="C85" s="37" t="s">
        <v>634</v>
      </c>
      <c r="D85" s="64">
        <v>13005</v>
      </c>
      <c r="E85" s="38">
        <v>2.46</v>
      </c>
      <c r="F85" s="39">
        <v>0.31629880999999999</v>
      </c>
      <c r="G85" s="38">
        <v>0</v>
      </c>
      <c r="H85" s="38">
        <v>0</v>
      </c>
      <c r="I85" s="38">
        <v>0.40893120999999999</v>
      </c>
      <c r="J85" s="38">
        <v>1.7811292999999999E-2</v>
      </c>
      <c r="K85" s="38">
        <v>0.13756958</v>
      </c>
      <c r="L85" s="40">
        <v>0.88061089299999984</v>
      </c>
    </row>
    <row r="86" spans="1:12" hidden="1">
      <c r="A86" s="37" t="s">
        <v>868</v>
      </c>
      <c r="B86" s="37"/>
      <c r="C86" s="37" t="s">
        <v>634</v>
      </c>
      <c r="D86" s="64">
        <v>13089</v>
      </c>
      <c r="E86" s="38">
        <v>2.96</v>
      </c>
      <c r="F86" s="39">
        <v>1.0212291</v>
      </c>
      <c r="G86" s="38">
        <v>0.67727333000000001</v>
      </c>
      <c r="H86" s="38">
        <v>0.28118162000000002</v>
      </c>
      <c r="I86" s="38">
        <v>0.16614930999999999</v>
      </c>
      <c r="J86" s="38">
        <v>2.0096607999999998E-2</v>
      </c>
      <c r="K86" s="38">
        <v>0</v>
      </c>
      <c r="L86" s="40">
        <v>2.1659299679999999</v>
      </c>
    </row>
    <row r="87" spans="1:12" hidden="1">
      <c r="A87" s="37" t="s">
        <v>869</v>
      </c>
      <c r="B87" s="37"/>
      <c r="C87" s="37" t="s">
        <v>826</v>
      </c>
      <c r="D87" s="64">
        <v>26206</v>
      </c>
      <c r="E87" s="38">
        <v>3.57</v>
      </c>
      <c r="F87" s="39">
        <v>11.269168000000001</v>
      </c>
      <c r="G87" s="38">
        <v>0</v>
      </c>
      <c r="H87" s="38">
        <v>0.27530876999999998</v>
      </c>
      <c r="I87" s="38">
        <v>0.99916660000000002</v>
      </c>
      <c r="J87" s="38">
        <v>3.7353873000000003E-2</v>
      </c>
      <c r="K87" s="38">
        <v>6.6736979E-3</v>
      </c>
      <c r="L87" s="40">
        <v>12.587670940900002</v>
      </c>
    </row>
    <row r="88" spans="1:12" hidden="1">
      <c r="A88" s="37" t="s">
        <v>870</v>
      </c>
      <c r="B88" s="37"/>
      <c r="C88" s="37" t="s">
        <v>826</v>
      </c>
      <c r="D88" s="64">
        <v>26205</v>
      </c>
      <c r="E88" s="38">
        <v>3.57</v>
      </c>
      <c r="F88" s="39">
        <v>7.6943339000000002</v>
      </c>
      <c r="G88" s="38">
        <v>0</v>
      </c>
      <c r="H88" s="38">
        <v>0.27530876999999998</v>
      </c>
      <c r="I88" s="38">
        <v>0.99916660000000002</v>
      </c>
      <c r="J88" s="38">
        <v>3.7353873000000003E-2</v>
      </c>
      <c r="K88" s="38">
        <v>6.6736979E-3</v>
      </c>
      <c r="L88" s="40">
        <v>9.0128368409000004</v>
      </c>
    </row>
    <row r="89" spans="1:12" hidden="1">
      <c r="A89" s="37" t="s">
        <v>871</v>
      </c>
      <c r="B89" s="37"/>
      <c r="C89" s="37" t="s">
        <v>826</v>
      </c>
      <c r="D89" s="64">
        <v>26072</v>
      </c>
      <c r="E89" s="38">
        <v>3.64</v>
      </c>
      <c r="F89" s="39">
        <v>11.269168000000001</v>
      </c>
      <c r="G89" s="38">
        <v>0</v>
      </c>
      <c r="H89" s="38">
        <v>0.27530876999999998</v>
      </c>
      <c r="I89" s="38">
        <v>0.99916660000000002</v>
      </c>
      <c r="J89" s="38">
        <v>3.7353873000000003E-2</v>
      </c>
      <c r="K89" s="38">
        <v>6.6736979E-3</v>
      </c>
      <c r="L89" s="40">
        <v>12.587670940900002</v>
      </c>
    </row>
    <row r="90" spans="1:12" hidden="1">
      <c r="A90" s="37" t="s">
        <v>872</v>
      </c>
      <c r="B90" s="37"/>
      <c r="C90" s="37" t="s">
        <v>873</v>
      </c>
      <c r="D90" s="64">
        <v>27030</v>
      </c>
      <c r="E90" s="38">
        <v>3.52</v>
      </c>
      <c r="F90" s="39">
        <v>13.760306999999999</v>
      </c>
      <c r="G90" s="38">
        <v>0</v>
      </c>
      <c r="H90" s="38">
        <v>0.22504651000000001</v>
      </c>
      <c r="I90" s="38">
        <v>1.2200404</v>
      </c>
      <c r="J90" s="38">
        <v>4.5611246000000001E-2</v>
      </c>
      <c r="K90" s="38">
        <v>9.4039550999999999E-2</v>
      </c>
      <c r="L90" s="40">
        <v>15.345044707</v>
      </c>
    </row>
    <row r="91" spans="1:12" hidden="1">
      <c r="A91" s="37" t="s">
        <v>874</v>
      </c>
      <c r="B91" s="37"/>
      <c r="C91" s="37" t="s">
        <v>826</v>
      </c>
      <c r="D91" s="64">
        <v>26075</v>
      </c>
      <c r="E91" s="38">
        <v>3.57</v>
      </c>
      <c r="F91" s="39">
        <v>11.269168000000001</v>
      </c>
      <c r="G91" s="38">
        <v>0</v>
      </c>
      <c r="H91" s="38">
        <v>0.27530876999999998</v>
      </c>
      <c r="I91" s="38">
        <v>0.99916660000000002</v>
      </c>
      <c r="J91" s="38">
        <v>3.7353873000000003E-2</v>
      </c>
      <c r="K91" s="38">
        <v>6.6736979E-3</v>
      </c>
      <c r="L91" s="40">
        <v>12.587670940900002</v>
      </c>
    </row>
    <row r="92" spans="1:12" hidden="1">
      <c r="A92" s="37" t="s">
        <v>875</v>
      </c>
      <c r="B92" s="37"/>
      <c r="C92" s="37" t="s">
        <v>826</v>
      </c>
      <c r="D92" s="64">
        <v>26001</v>
      </c>
      <c r="E92" s="38">
        <v>3.64</v>
      </c>
      <c r="F92" s="39">
        <v>11.269168000000001</v>
      </c>
      <c r="G92" s="38">
        <v>0</v>
      </c>
      <c r="H92" s="38">
        <v>0.27530876999999998</v>
      </c>
      <c r="I92" s="38">
        <v>0.99916660000000002</v>
      </c>
      <c r="J92" s="38">
        <v>3.7353873000000003E-2</v>
      </c>
      <c r="K92" s="38">
        <v>6.6736979E-3</v>
      </c>
      <c r="L92" s="40">
        <v>12.587670940900002</v>
      </c>
    </row>
    <row r="93" spans="1:12" hidden="1">
      <c r="A93" s="37" t="s">
        <v>876</v>
      </c>
      <c r="B93" s="37"/>
      <c r="C93" s="37" t="s">
        <v>877</v>
      </c>
      <c r="D93" s="64">
        <v>31002</v>
      </c>
      <c r="E93" s="38">
        <v>3.28</v>
      </c>
      <c r="F93" s="39">
        <v>3.6693368</v>
      </c>
      <c r="G93" s="38">
        <v>0.31545410000000002</v>
      </c>
      <c r="H93" s="38">
        <v>0.10402936</v>
      </c>
      <c r="I93" s="38">
        <v>0.20428451</v>
      </c>
      <c r="J93" s="38">
        <v>1.7263204000000001E-2</v>
      </c>
      <c r="K93" s="38">
        <v>0</v>
      </c>
      <c r="L93" s="40">
        <v>4.310367974</v>
      </c>
    </row>
    <row r="94" spans="1:12" hidden="1">
      <c r="A94" s="37" t="s">
        <v>878</v>
      </c>
      <c r="B94" s="37"/>
      <c r="C94" s="37" t="s">
        <v>623</v>
      </c>
      <c r="D94" s="64">
        <v>24039</v>
      </c>
      <c r="E94" s="38">
        <v>2.92</v>
      </c>
      <c r="F94" s="39">
        <v>1.7392837000000001</v>
      </c>
      <c r="G94" s="38">
        <v>0.23538554</v>
      </c>
      <c r="H94" s="38">
        <v>0.1098401</v>
      </c>
      <c r="I94" s="38">
        <v>0.16840188</v>
      </c>
      <c r="J94" s="38">
        <v>1.9437894000000001E-2</v>
      </c>
      <c r="K94" s="38">
        <v>0</v>
      </c>
      <c r="L94" s="40">
        <v>2.2723491140000007</v>
      </c>
    </row>
    <row r="95" spans="1:12" hidden="1">
      <c r="A95" s="37" t="s">
        <v>879</v>
      </c>
      <c r="B95" s="37"/>
      <c r="C95" s="37" t="s">
        <v>623</v>
      </c>
      <c r="D95" s="64">
        <v>31101</v>
      </c>
      <c r="E95" s="38">
        <v>2.91</v>
      </c>
      <c r="F95" s="39">
        <v>1.7392837000000001</v>
      </c>
      <c r="G95" s="38">
        <v>0.23538554</v>
      </c>
      <c r="H95" s="38">
        <v>0.28124639000000001</v>
      </c>
      <c r="I95" s="38">
        <v>0.16300506000000001</v>
      </c>
      <c r="J95" s="38">
        <v>1.9437894000000001E-2</v>
      </c>
      <c r="K95" s="38">
        <v>0</v>
      </c>
      <c r="L95" s="40">
        <v>2.4383585840000004</v>
      </c>
    </row>
    <row r="96" spans="1:12" hidden="1">
      <c r="A96" s="37" t="s">
        <v>880</v>
      </c>
      <c r="B96" s="37"/>
      <c r="C96" s="37" t="s">
        <v>623</v>
      </c>
      <c r="D96" s="64">
        <v>31102</v>
      </c>
      <c r="E96" s="38">
        <v>2.81</v>
      </c>
      <c r="F96" s="39">
        <v>5.2974398000000003</v>
      </c>
      <c r="G96" s="38">
        <v>0.25035551</v>
      </c>
      <c r="H96" s="38">
        <v>0.28126525000000002</v>
      </c>
      <c r="I96" s="38">
        <v>0.16580410000000001</v>
      </c>
      <c r="J96" s="38">
        <v>1.9437894000000001E-2</v>
      </c>
      <c r="K96" s="38">
        <v>0</v>
      </c>
      <c r="L96" s="40">
        <v>6.0143025540000004</v>
      </c>
    </row>
    <row r="97" spans="1:12" hidden="1">
      <c r="A97" s="37" t="s">
        <v>881</v>
      </c>
      <c r="B97" s="37"/>
      <c r="C97" s="37" t="s">
        <v>623</v>
      </c>
      <c r="D97" s="64">
        <v>31114</v>
      </c>
      <c r="E97" s="38">
        <v>3.37</v>
      </c>
      <c r="F97" s="39">
        <v>2.4224226</v>
      </c>
      <c r="G97" s="38">
        <v>0.27519811999999999</v>
      </c>
      <c r="H97" s="38">
        <v>0.28120971</v>
      </c>
      <c r="I97" s="38">
        <v>0.18003031999999999</v>
      </c>
      <c r="J97" s="38">
        <v>1.9437894000000001E-2</v>
      </c>
      <c r="K97" s="38">
        <v>0</v>
      </c>
      <c r="L97" s="40">
        <v>3.1782986440000003</v>
      </c>
    </row>
    <row r="98" spans="1:12" hidden="1">
      <c r="A98" s="37" t="s">
        <v>882</v>
      </c>
      <c r="B98" s="37"/>
      <c r="C98" s="37" t="s">
        <v>623</v>
      </c>
      <c r="D98" s="64">
        <v>31113</v>
      </c>
      <c r="E98" s="38">
        <v>2.91</v>
      </c>
      <c r="F98" s="39">
        <v>1.7392837000000001</v>
      </c>
      <c r="G98" s="38">
        <v>0.23538554</v>
      </c>
      <c r="H98" s="38">
        <v>0.28124639000000001</v>
      </c>
      <c r="I98" s="38">
        <v>0.16300506000000001</v>
      </c>
      <c r="J98" s="38">
        <v>1.9437894000000001E-2</v>
      </c>
      <c r="K98" s="38">
        <v>0</v>
      </c>
      <c r="L98" s="40">
        <v>2.4383585840000004</v>
      </c>
    </row>
    <row r="99" spans="1:12" hidden="1">
      <c r="A99" s="37" t="s">
        <v>883</v>
      </c>
      <c r="B99" s="37"/>
      <c r="C99" s="37" t="s">
        <v>623</v>
      </c>
      <c r="D99" s="64">
        <v>31106</v>
      </c>
      <c r="E99" s="38">
        <v>2.81</v>
      </c>
      <c r="F99" s="39">
        <v>5.2974398000000003</v>
      </c>
      <c r="G99" s="38">
        <v>0.25035551</v>
      </c>
      <c r="H99" s="38">
        <v>0.28126525000000002</v>
      </c>
      <c r="I99" s="38">
        <v>0.16580410000000001</v>
      </c>
      <c r="J99" s="38">
        <v>1.9437894000000001E-2</v>
      </c>
      <c r="K99" s="38">
        <v>0</v>
      </c>
      <c r="L99" s="40">
        <v>6.0143025540000004</v>
      </c>
    </row>
    <row r="100" spans="1:12" hidden="1">
      <c r="A100" s="37" t="s">
        <v>884</v>
      </c>
      <c r="B100" s="37"/>
      <c r="C100" s="37" t="s">
        <v>623</v>
      </c>
      <c r="D100" s="64">
        <v>31100</v>
      </c>
      <c r="E100" s="38">
        <v>2.81</v>
      </c>
      <c r="F100" s="39">
        <v>5.2974398000000003</v>
      </c>
      <c r="G100" s="38">
        <v>0.25035551</v>
      </c>
      <c r="H100" s="38">
        <v>0.28126525000000002</v>
      </c>
      <c r="I100" s="38">
        <v>0.16580410000000001</v>
      </c>
      <c r="J100" s="38">
        <v>1.9437894000000001E-2</v>
      </c>
      <c r="K100" s="38">
        <v>0</v>
      </c>
      <c r="L100" s="40">
        <v>6.0143025540000004</v>
      </c>
    </row>
    <row r="101" spans="1:12" hidden="1">
      <c r="A101" s="41" t="s">
        <v>885</v>
      </c>
      <c r="B101" s="41"/>
      <c r="C101" s="41" t="s">
        <v>877</v>
      </c>
      <c r="D101" s="65">
        <v>31098</v>
      </c>
      <c r="E101" s="42">
        <v>3.28</v>
      </c>
      <c r="F101" s="43">
        <v>3.6693368</v>
      </c>
      <c r="G101" s="42">
        <v>0.31545410000000002</v>
      </c>
      <c r="H101" s="42">
        <v>0.10402936</v>
      </c>
      <c r="I101" s="42">
        <v>0.20428451</v>
      </c>
      <c r="J101" s="42">
        <v>1.7263204000000001E-2</v>
      </c>
      <c r="K101" s="42">
        <v>0</v>
      </c>
      <c r="L101" s="44">
        <v>4.310367974</v>
      </c>
    </row>
    <row r="102" spans="1:12" hidden="1">
      <c r="A102" s="37" t="s">
        <v>886</v>
      </c>
      <c r="B102" s="37"/>
      <c r="C102" s="37" t="s">
        <v>877</v>
      </c>
      <c r="D102" s="64">
        <v>31071</v>
      </c>
      <c r="E102" s="38">
        <v>2.91</v>
      </c>
      <c r="F102" s="39">
        <v>3.6693368</v>
      </c>
      <c r="G102" s="38">
        <v>0.31545410000000002</v>
      </c>
      <c r="H102" s="38">
        <v>0.10402936</v>
      </c>
      <c r="I102" s="38">
        <v>0.20428451</v>
      </c>
      <c r="J102" s="38">
        <v>1.7263204000000001E-2</v>
      </c>
      <c r="K102" s="38">
        <v>0</v>
      </c>
      <c r="L102" s="40">
        <v>4.310367974</v>
      </c>
    </row>
    <row r="103" spans="1:12" hidden="1">
      <c r="A103" s="37" t="s">
        <v>887</v>
      </c>
      <c r="B103" s="37"/>
      <c r="C103" s="37" t="s">
        <v>877</v>
      </c>
      <c r="D103" s="64">
        <v>31000</v>
      </c>
      <c r="E103" s="38">
        <v>3.28</v>
      </c>
      <c r="F103" s="39">
        <v>5.6737238999999997</v>
      </c>
      <c r="G103" s="38">
        <v>0.31392798999999999</v>
      </c>
      <c r="H103" s="38">
        <v>0.27084244000000002</v>
      </c>
      <c r="I103" s="38">
        <v>0.19290152999999999</v>
      </c>
      <c r="J103" s="38">
        <v>1.7263204000000001E-2</v>
      </c>
      <c r="K103" s="38">
        <v>0</v>
      </c>
      <c r="L103" s="40">
        <v>6.4686590639999997</v>
      </c>
    </row>
    <row r="104" spans="1:12" hidden="1">
      <c r="A104" s="37" t="s">
        <v>888</v>
      </c>
      <c r="B104" s="37"/>
      <c r="C104" s="37" t="s">
        <v>877</v>
      </c>
      <c r="D104" s="64">
        <v>31001</v>
      </c>
      <c r="E104" s="38">
        <v>3.1</v>
      </c>
      <c r="F104" s="39">
        <v>5.0186272000000001</v>
      </c>
      <c r="G104" s="38">
        <v>0.23717890999999999</v>
      </c>
      <c r="H104" s="38">
        <v>0.10410859</v>
      </c>
      <c r="I104" s="38">
        <v>0.16360837</v>
      </c>
      <c r="J104" s="38">
        <v>1.7263204000000001E-2</v>
      </c>
      <c r="K104" s="38">
        <v>0</v>
      </c>
      <c r="L104" s="40">
        <v>5.5407862740000002</v>
      </c>
    </row>
    <row r="105" spans="1:12" hidden="1">
      <c r="A105" s="37" t="s">
        <v>889</v>
      </c>
      <c r="B105" s="37"/>
      <c r="C105" s="37" t="s">
        <v>671</v>
      </c>
      <c r="D105" s="64">
        <v>31035</v>
      </c>
      <c r="E105" s="38">
        <v>3.45</v>
      </c>
      <c r="F105" s="39">
        <v>1.0539407999999999</v>
      </c>
      <c r="G105" s="38">
        <v>0.21512698</v>
      </c>
      <c r="H105" s="38">
        <v>0.18042667000000001</v>
      </c>
      <c r="I105" s="38">
        <v>0.19674195</v>
      </c>
      <c r="J105" s="38">
        <v>6.5229756E-2</v>
      </c>
      <c r="K105" s="38">
        <v>2.5251829999999999E-2</v>
      </c>
      <c r="L105" s="40">
        <v>1.7367179859999999</v>
      </c>
    </row>
    <row r="106" spans="1:12" hidden="1">
      <c r="A106" s="37" t="s">
        <v>890</v>
      </c>
      <c r="B106" s="37"/>
      <c r="C106" s="37" t="s">
        <v>877</v>
      </c>
      <c r="D106" s="64">
        <v>31073</v>
      </c>
      <c r="E106" s="38">
        <v>3.28</v>
      </c>
      <c r="F106" s="39">
        <v>5.6737238999999997</v>
      </c>
      <c r="G106" s="38">
        <v>0.31392798999999999</v>
      </c>
      <c r="H106" s="38">
        <v>0.10408059</v>
      </c>
      <c r="I106" s="38">
        <v>0.19808586</v>
      </c>
      <c r="J106" s="38">
        <v>1.7263204000000001E-2</v>
      </c>
      <c r="K106" s="38">
        <v>0</v>
      </c>
      <c r="L106" s="40">
        <v>6.307081543999999</v>
      </c>
    </row>
    <row r="107" spans="1:12" hidden="1">
      <c r="A107" s="37" t="s">
        <v>891</v>
      </c>
      <c r="B107" s="37"/>
      <c r="C107" s="37" t="s">
        <v>877</v>
      </c>
      <c r="D107" s="64">
        <v>31099</v>
      </c>
      <c r="E107" s="38">
        <v>3.28</v>
      </c>
      <c r="F107" s="39">
        <v>5.6737238999999997</v>
      </c>
      <c r="G107" s="38">
        <v>0.31392798999999999</v>
      </c>
      <c r="H107" s="38">
        <v>0.10408059</v>
      </c>
      <c r="I107" s="38">
        <v>0.19808586</v>
      </c>
      <c r="J107" s="38">
        <v>1.7263204000000001E-2</v>
      </c>
      <c r="K107" s="38">
        <v>0</v>
      </c>
      <c r="L107" s="40">
        <v>6.307081543999999</v>
      </c>
    </row>
    <row r="108" spans="1:12" hidden="1">
      <c r="A108" s="37" t="s">
        <v>892</v>
      </c>
      <c r="B108" s="37"/>
      <c r="C108" s="37" t="s">
        <v>877</v>
      </c>
      <c r="D108" s="64">
        <v>31012</v>
      </c>
      <c r="E108" s="38">
        <v>3.28</v>
      </c>
      <c r="F108" s="39">
        <v>5.6737238999999997</v>
      </c>
      <c r="G108" s="38">
        <v>0.31392798999999999</v>
      </c>
      <c r="H108" s="38">
        <v>0.10408059</v>
      </c>
      <c r="I108" s="38">
        <v>0.19808586</v>
      </c>
      <c r="J108" s="38">
        <v>1.7263204000000001E-2</v>
      </c>
      <c r="K108" s="38">
        <v>0</v>
      </c>
      <c r="L108" s="40">
        <v>6.307081543999999</v>
      </c>
    </row>
    <row r="109" spans="1:12" hidden="1">
      <c r="A109" s="37" t="s">
        <v>893</v>
      </c>
      <c r="B109" s="37"/>
      <c r="C109" s="37" t="s">
        <v>894</v>
      </c>
      <c r="D109" s="64">
        <v>37000</v>
      </c>
      <c r="E109" s="38">
        <v>2.89</v>
      </c>
      <c r="F109" s="39">
        <v>1.4196666</v>
      </c>
      <c r="G109" s="38">
        <v>0.29586312999999997</v>
      </c>
      <c r="H109" s="38">
        <v>0.10977533</v>
      </c>
      <c r="I109" s="38">
        <v>0.11576143</v>
      </c>
      <c r="J109" s="38">
        <v>1.9437894000000001E-2</v>
      </c>
      <c r="K109" s="38">
        <v>0</v>
      </c>
      <c r="L109" s="40">
        <v>1.960504384</v>
      </c>
    </row>
    <row r="110" spans="1:12" hidden="1">
      <c r="A110" s="41" t="s">
        <v>895</v>
      </c>
      <c r="B110" s="41"/>
      <c r="C110" s="41" t="s">
        <v>894</v>
      </c>
      <c r="D110" s="65">
        <v>37002</v>
      </c>
      <c r="E110" s="42">
        <v>3.19</v>
      </c>
      <c r="F110" s="43">
        <v>0.23113781999999999</v>
      </c>
      <c r="G110" s="42">
        <v>0.16771351000000001</v>
      </c>
      <c r="H110" s="42">
        <v>0.10977533</v>
      </c>
      <c r="I110" s="42">
        <v>0.19020392</v>
      </c>
      <c r="J110" s="42">
        <v>1.9437894000000001E-2</v>
      </c>
      <c r="K110" s="42">
        <v>0</v>
      </c>
      <c r="L110" s="44">
        <v>0.71826847399999993</v>
      </c>
    </row>
    <row r="111" spans="1:12" hidden="1">
      <c r="A111" s="37" t="s">
        <v>896</v>
      </c>
      <c r="B111" s="37"/>
      <c r="C111" s="37" t="s">
        <v>807</v>
      </c>
      <c r="D111" s="64">
        <v>11033</v>
      </c>
      <c r="E111" s="38">
        <v>3.75</v>
      </c>
      <c r="F111" s="39">
        <v>0.22186655999999999</v>
      </c>
      <c r="G111" s="38">
        <v>0</v>
      </c>
      <c r="H111" s="38">
        <v>0.32904318999999999</v>
      </c>
      <c r="I111" s="38">
        <v>0.16258027</v>
      </c>
      <c r="J111" s="38">
        <v>1.9594963E-2</v>
      </c>
      <c r="K111" s="38">
        <v>8.0351048999999994E-2</v>
      </c>
      <c r="L111" s="40">
        <v>0.81343603199999992</v>
      </c>
    </row>
    <row r="112" spans="1:12" hidden="1">
      <c r="A112" s="37" t="s">
        <v>897</v>
      </c>
      <c r="B112" s="37"/>
      <c r="C112" s="37" t="s">
        <v>807</v>
      </c>
      <c r="D112" s="64">
        <v>11032</v>
      </c>
      <c r="E112" s="38">
        <v>3.75</v>
      </c>
      <c r="F112" s="39">
        <v>0.88036652999999998</v>
      </c>
      <c r="G112" s="38">
        <v>0</v>
      </c>
      <c r="H112" s="38">
        <v>0.47782284000000003</v>
      </c>
      <c r="I112" s="38">
        <v>0.17533238000000001</v>
      </c>
      <c r="J112" s="38">
        <v>1.5675970000000001E-2</v>
      </c>
      <c r="K112" s="38">
        <v>0</v>
      </c>
      <c r="L112" s="40">
        <v>1.54919772</v>
      </c>
    </row>
    <row r="113" spans="1:12" hidden="1">
      <c r="A113" s="37" t="s">
        <v>898</v>
      </c>
      <c r="B113" s="37"/>
      <c r="C113" s="37" t="s">
        <v>640</v>
      </c>
      <c r="D113" s="64">
        <v>12105</v>
      </c>
      <c r="E113" s="38">
        <v>2.2400000000000002</v>
      </c>
      <c r="F113" s="39">
        <v>5.1820906999999998</v>
      </c>
      <c r="G113" s="38">
        <v>0.39280842999999999</v>
      </c>
      <c r="H113" s="38">
        <v>0.26233268999999998</v>
      </c>
      <c r="I113" s="38">
        <v>0.21100323000000001</v>
      </c>
      <c r="J113" s="38">
        <v>3.5969872999999999E-2</v>
      </c>
      <c r="K113" s="38">
        <v>6.6736979E-3</v>
      </c>
      <c r="L113" s="40">
        <v>6.0908786208999999</v>
      </c>
    </row>
    <row r="114" spans="1:12" hidden="1">
      <c r="A114" s="37" t="s">
        <v>899</v>
      </c>
      <c r="B114" s="37"/>
      <c r="C114" s="37" t="s">
        <v>668</v>
      </c>
      <c r="D114" s="64">
        <v>23881</v>
      </c>
      <c r="E114" s="38">
        <v>3.11</v>
      </c>
      <c r="F114" s="39">
        <v>0.89774810000000005</v>
      </c>
      <c r="G114" s="38">
        <v>0.22254417000000001</v>
      </c>
      <c r="H114" s="38">
        <v>0.28785910999999997</v>
      </c>
      <c r="I114" s="38">
        <v>0.14194696000000001</v>
      </c>
      <c r="J114" s="38">
        <v>1.9437894000000001E-2</v>
      </c>
      <c r="K114" s="38">
        <v>0</v>
      </c>
      <c r="L114" s="40">
        <v>1.5695362340000001</v>
      </c>
    </row>
    <row r="115" spans="1:12" hidden="1">
      <c r="A115" s="41" t="s">
        <v>900</v>
      </c>
      <c r="B115" s="41"/>
      <c r="C115" s="41" t="s">
        <v>782</v>
      </c>
      <c r="D115" s="65">
        <v>10023</v>
      </c>
      <c r="E115" s="42">
        <v>3.24</v>
      </c>
      <c r="F115" s="43">
        <v>5.4301054999999998</v>
      </c>
      <c r="G115" s="42">
        <v>0.37544253999999999</v>
      </c>
      <c r="H115" s="42">
        <v>0.27731618000000002</v>
      </c>
      <c r="I115" s="42">
        <v>0.37053571000000002</v>
      </c>
      <c r="J115" s="42">
        <v>3.7768032999999999E-2</v>
      </c>
      <c r="K115" s="42">
        <v>9.2564276000000001E-2</v>
      </c>
      <c r="L115" s="44">
        <v>6.5837322389999997</v>
      </c>
    </row>
    <row r="116" spans="1:12" hidden="1">
      <c r="A116" s="41" t="s">
        <v>901</v>
      </c>
      <c r="B116" s="41"/>
      <c r="C116" s="41" t="s">
        <v>811</v>
      </c>
      <c r="D116" s="65">
        <v>25556</v>
      </c>
      <c r="E116" s="42">
        <v>2.52</v>
      </c>
      <c r="F116" s="43">
        <v>0.67452862999999996</v>
      </c>
      <c r="G116" s="42">
        <v>0.17636551</v>
      </c>
      <c r="H116" s="42">
        <v>0.18552152</v>
      </c>
      <c r="I116" s="42">
        <v>0.23359970999999999</v>
      </c>
      <c r="J116" s="42">
        <v>3.7768032999999999E-2</v>
      </c>
      <c r="K116" s="42">
        <v>1.7696322E-2</v>
      </c>
      <c r="L116" s="44">
        <v>1.3254797249999999</v>
      </c>
    </row>
    <row r="117" spans="1:12" hidden="1">
      <c r="A117" s="37" t="s">
        <v>902</v>
      </c>
      <c r="B117" s="37"/>
      <c r="C117" s="37" t="s">
        <v>903</v>
      </c>
      <c r="D117" s="64">
        <v>25551</v>
      </c>
      <c r="E117" s="38">
        <v>1.92</v>
      </c>
      <c r="F117" s="39">
        <v>4.5091738000000001</v>
      </c>
      <c r="G117" s="38">
        <v>0.58803899999999998</v>
      </c>
      <c r="H117" s="38">
        <v>0.47571247999999999</v>
      </c>
      <c r="I117" s="38">
        <v>0.20748216</v>
      </c>
      <c r="J117" s="38">
        <v>3.7768032999999999E-2</v>
      </c>
      <c r="K117" s="38">
        <v>9.2564276000000001E-2</v>
      </c>
      <c r="L117" s="40">
        <v>5.9107397490000002</v>
      </c>
    </row>
    <row r="118" spans="1:12" hidden="1">
      <c r="A118" s="37" t="s">
        <v>904</v>
      </c>
      <c r="B118" s="37"/>
      <c r="C118" s="37" t="s">
        <v>668</v>
      </c>
      <c r="D118" s="64">
        <v>23884</v>
      </c>
      <c r="E118" s="38">
        <v>2.13</v>
      </c>
      <c r="F118" s="39">
        <v>1.3821585999999999</v>
      </c>
      <c r="G118" s="38">
        <v>0.20013987999999999</v>
      </c>
      <c r="H118" s="38">
        <v>0.28785994999999998</v>
      </c>
      <c r="I118" s="38">
        <v>0.12902047</v>
      </c>
      <c r="J118" s="38">
        <v>1.9437894000000001E-2</v>
      </c>
      <c r="K118" s="38">
        <v>0</v>
      </c>
      <c r="L118" s="40">
        <v>2.0186167940000002</v>
      </c>
    </row>
    <row r="119" spans="1:12" hidden="1">
      <c r="A119" s="37" t="s">
        <v>905</v>
      </c>
      <c r="B119" s="37"/>
      <c r="C119" s="37" t="s">
        <v>668</v>
      </c>
      <c r="D119" s="64">
        <v>23885</v>
      </c>
      <c r="E119" s="38">
        <v>2.19</v>
      </c>
      <c r="F119" s="39">
        <v>4.8031886999999998</v>
      </c>
      <c r="G119" s="38">
        <v>0.32052997999999999</v>
      </c>
      <c r="H119" s="38">
        <v>0.28784862999999999</v>
      </c>
      <c r="I119" s="38">
        <v>0.19719744</v>
      </c>
      <c r="J119" s="38">
        <v>1.9437894000000001E-2</v>
      </c>
      <c r="K119" s="38">
        <v>0</v>
      </c>
      <c r="L119" s="40">
        <v>5.6282026439999999</v>
      </c>
    </row>
    <row r="120" spans="1:12" hidden="1">
      <c r="A120" s="37" t="s">
        <v>906</v>
      </c>
      <c r="B120" s="37"/>
      <c r="C120" s="37" t="s">
        <v>668</v>
      </c>
      <c r="D120" s="64">
        <v>23880</v>
      </c>
      <c r="E120" s="38">
        <v>2.27</v>
      </c>
      <c r="F120" s="39">
        <v>0.92076190999999996</v>
      </c>
      <c r="G120" s="38">
        <v>0.21790103</v>
      </c>
      <c r="H120" s="38">
        <v>0.28787253000000002</v>
      </c>
      <c r="I120" s="38">
        <v>0.12249908</v>
      </c>
      <c r="J120" s="38">
        <v>1.9437894000000001E-2</v>
      </c>
      <c r="K120" s="38">
        <v>0</v>
      </c>
      <c r="L120" s="40">
        <v>1.568472444</v>
      </c>
    </row>
    <row r="121" spans="1:12" hidden="1">
      <c r="A121" s="41" t="s">
        <v>907</v>
      </c>
      <c r="B121" s="41"/>
      <c r="C121" s="41" t="s">
        <v>842</v>
      </c>
      <c r="D121" s="65">
        <v>20004</v>
      </c>
      <c r="E121" s="42">
        <v>2.5499999999999998</v>
      </c>
      <c r="F121" s="43">
        <v>0.14247925</v>
      </c>
      <c r="G121" s="42">
        <v>0</v>
      </c>
      <c r="H121" s="42">
        <v>0</v>
      </c>
      <c r="I121" s="42">
        <v>0.27356253000000003</v>
      </c>
      <c r="J121" s="42">
        <v>4.6360746000000001E-2</v>
      </c>
      <c r="K121" s="42">
        <v>8.0351048999999994E-2</v>
      </c>
      <c r="L121" s="44">
        <v>0.54275357499999999</v>
      </c>
    </row>
    <row r="122" spans="1:12" hidden="1">
      <c r="A122" s="41" t="s">
        <v>908</v>
      </c>
      <c r="B122" s="41"/>
      <c r="C122" s="41" t="s">
        <v>842</v>
      </c>
      <c r="D122" s="65">
        <v>20005</v>
      </c>
      <c r="E122" s="42">
        <v>2.98</v>
      </c>
      <c r="F122" s="43">
        <v>0.166434</v>
      </c>
      <c r="G122" s="42">
        <v>0</v>
      </c>
      <c r="H122" s="42">
        <v>0.28002042999999999</v>
      </c>
      <c r="I122" s="42">
        <v>0.3335497</v>
      </c>
      <c r="J122" s="42">
        <v>5.4155287000000003E-2</v>
      </c>
      <c r="K122" s="42">
        <v>0.20967494</v>
      </c>
      <c r="L122" s="44">
        <v>1.0438343570000002</v>
      </c>
    </row>
    <row r="123" spans="1:12" hidden="1">
      <c r="A123" s="37" t="s">
        <v>909</v>
      </c>
      <c r="B123" s="37"/>
      <c r="C123" s="37" t="s">
        <v>842</v>
      </c>
      <c r="D123" s="64">
        <v>20091</v>
      </c>
      <c r="E123" s="38">
        <v>2.6</v>
      </c>
      <c r="F123" s="39">
        <v>8.0693939000000006E-2</v>
      </c>
      <c r="G123" s="38">
        <v>0</v>
      </c>
      <c r="H123" s="38">
        <v>0</v>
      </c>
      <c r="I123" s="38">
        <v>0.24073502999999999</v>
      </c>
      <c r="J123" s="38">
        <v>1.0751711000000001E-2</v>
      </c>
      <c r="K123" s="38">
        <v>3.2140419000000003E-2</v>
      </c>
      <c r="L123" s="40">
        <v>0.36432109899999998</v>
      </c>
    </row>
    <row r="124" spans="1:12" hidden="1">
      <c r="A124" s="37" t="s">
        <v>910</v>
      </c>
      <c r="B124" s="37"/>
      <c r="C124" s="37" t="s">
        <v>842</v>
      </c>
      <c r="D124" s="64">
        <v>20003</v>
      </c>
      <c r="E124" s="38">
        <v>3</v>
      </c>
      <c r="F124" s="39">
        <v>9.5218848999999994E-2</v>
      </c>
      <c r="G124" s="38">
        <v>0</v>
      </c>
      <c r="H124" s="38">
        <v>0.35714210000000002</v>
      </c>
      <c r="I124" s="38">
        <v>0.29649297000000002</v>
      </c>
      <c r="J124" s="38">
        <v>1.2687019000000001E-2</v>
      </c>
      <c r="K124" s="38">
        <v>0.12807962000000001</v>
      </c>
      <c r="L124" s="40">
        <v>0.88962055800000006</v>
      </c>
    </row>
    <row r="125" spans="1:12" hidden="1">
      <c r="A125" s="37" t="s">
        <v>911</v>
      </c>
      <c r="B125" s="37"/>
      <c r="C125" s="37" t="s">
        <v>912</v>
      </c>
      <c r="D125" s="64">
        <v>16415</v>
      </c>
      <c r="E125" s="38">
        <v>3.65</v>
      </c>
      <c r="F125" s="39">
        <v>5.6127139000000001</v>
      </c>
      <c r="G125" s="38">
        <v>7.7748529999999996E-2</v>
      </c>
      <c r="H125" s="38">
        <v>0.18031662000000001</v>
      </c>
      <c r="I125" s="38">
        <v>0.25883518</v>
      </c>
      <c r="J125" s="38">
        <v>3.946786E-2</v>
      </c>
      <c r="K125" s="38">
        <v>6.6736979E-3</v>
      </c>
      <c r="L125" s="40">
        <v>6.1757557879000009</v>
      </c>
    </row>
    <row r="126" spans="1:12" hidden="1">
      <c r="A126" s="37" t="s">
        <v>913</v>
      </c>
      <c r="B126" s="37"/>
      <c r="C126" s="37" t="s">
        <v>912</v>
      </c>
      <c r="D126" s="64">
        <v>16411</v>
      </c>
      <c r="E126" s="38">
        <v>3.65</v>
      </c>
      <c r="F126" s="39">
        <v>6.5812286999999996</v>
      </c>
      <c r="G126" s="38">
        <v>6.7172045E-2</v>
      </c>
      <c r="H126" s="38">
        <v>0.18031662000000001</v>
      </c>
      <c r="I126" s="38">
        <v>0.24342630000000001</v>
      </c>
      <c r="J126" s="38">
        <v>3.946786E-2</v>
      </c>
      <c r="K126" s="38">
        <v>6.6736979E-3</v>
      </c>
      <c r="L126" s="40">
        <v>7.1182852229000009</v>
      </c>
    </row>
    <row r="127" spans="1:12" hidden="1">
      <c r="A127" s="37" t="s">
        <v>914</v>
      </c>
      <c r="B127" s="37"/>
      <c r="C127" s="37" t="s">
        <v>912</v>
      </c>
      <c r="D127" s="64">
        <v>16410</v>
      </c>
      <c r="E127" s="38">
        <v>3.65</v>
      </c>
      <c r="F127" s="39">
        <v>6.6127782000000002</v>
      </c>
      <c r="G127" s="38">
        <v>6.0866877E-2</v>
      </c>
      <c r="H127" s="38">
        <v>0.18031662000000001</v>
      </c>
      <c r="I127" s="38">
        <v>0.24252868999999999</v>
      </c>
      <c r="J127" s="38">
        <v>3.946786E-2</v>
      </c>
      <c r="K127" s="38">
        <v>6.6736979E-3</v>
      </c>
      <c r="L127" s="40">
        <v>7.1426319449000006</v>
      </c>
    </row>
    <row r="128" spans="1:12" hidden="1">
      <c r="A128" s="37" t="s">
        <v>915</v>
      </c>
      <c r="B128" s="37"/>
      <c r="C128" s="37" t="s">
        <v>912</v>
      </c>
      <c r="D128" s="64">
        <v>16402</v>
      </c>
      <c r="E128" s="38">
        <v>2.69</v>
      </c>
      <c r="F128" s="39">
        <v>7.2112227000000004</v>
      </c>
      <c r="G128" s="38">
        <v>5.6330616E-2</v>
      </c>
      <c r="H128" s="38">
        <v>0.18031662000000001</v>
      </c>
      <c r="I128" s="38">
        <v>0.23295424000000001</v>
      </c>
      <c r="J128" s="38">
        <v>3.946786E-2</v>
      </c>
      <c r="K128" s="38">
        <v>6.6736979E-3</v>
      </c>
      <c r="L128" s="40">
        <v>7.7269657339000011</v>
      </c>
    </row>
    <row r="129" spans="1:12" hidden="1">
      <c r="A129" s="37" t="s">
        <v>916</v>
      </c>
      <c r="B129" s="37"/>
      <c r="C129" s="37" t="s">
        <v>912</v>
      </c>
      <c r="D129" s="64">
        <v>16403</v>
      </c>
      <c r="E129" s="38">
        <v>2.69</v>
      </c>
      <c r="F129" s="39">
        <v>7.2112227000000004</v>
      </c>
      <c r="G129" s="38">
        <v>5.6330616E-2</v>
      </c>
      <c r="H129" s="38">
        <v>0.18031662000000001</v>
      </c>
      <c r="I129" s="38">
        <v>0.23295424000000001</v>
      </c>
      <c r="J129" s="38">
        <v>3.946786E-2</v>
      </c>
      <c r="K129" s="38">
        <v>6.6736979E-3</v>
      </c>
      <c r="L129" s="40">
        <v>7.7269657339000011</v>
      </c>
    </row>
    <row r="130" spans="1:12" hidden="1">
      <c r="A130" s="37" t="s">
        <v>917</v>
      </c>
      <c r="B130" s="37"/>
      <c r="C130" s="37" t="s">
        <v>912</v>
      </c>
      <c r="D130" s="64">
        <v>16400</v>
      </c>
      <c r="E130" s="38">
        <v>2.69</v>
      </c>
      <c r="F130" s="39">
        <v>7.2846168000000002</v>
      </c>
      <c r="G130" s="38">
        <v>4.9715693999999998E-2</v>
      </c>
      <c r="H130" s="38">
        <v>0.18031662000000001</v>
      </c>
      <c r="I130" s="38">
        <v>0.23175742999999999</v>
      </c>
      <c r="J130" s="38">
        <v>3.946786E-2</v>
      </c>
      <c r="K130" s="38">
        <v>6.6736979E-3</v>
      </c>
      <c r="L130" s="40">
        <v>7.7925481019000005</v>
      </c>
    </row>
    <row r="131" spans="1:12" hidden="1">
      <c r="A131" s="37" t="s">
        <v>918</v>
      </c>
      <c r="B131" s="37"/>
      <c r="C131" s="37" t="s">
        <v>912</v>
      </c>
      <c r="D131" s="64">
        <v>16404</v>
      </c>
      <c r="E131" s="38">
        <v>3.17</v>
      </c>
      <c r="F131" s="39">
        <v>7.2846168000000002</v>
      </c>
      <c r="G131" s="38">
        <v>4.9715693999999998E-2</v>
      </c>
      <c r="H131" s="38">
        <v>0.18031662000000001</v>
      </c>
      <c r="I131" s="38">
        <v>0.23175742999999999</v>
      </c>
      <c r="J131" s="38">
        <v>3.946786E-2</v>
      </c>
      <c r="K131" s="38">
        <v>6.6736979E-3</v>
      </c>
      <c r="L131" s="40">
        <v>7.7925481019000005</v>
      </c>
    </row>
    <row r="132" spans="1:12" hidden="1">
      <c r="A132" s="37" t="s">
        <v>919</v>
      </c>
      <c r="B132" s="37"/>
      <c r="C132" s="37" t="s">
        <v>637</v>
      </c>
      <c r="D132" s="64">
        <v>15202</v>
      </c>
      <c r="E132" s="38">
        <v>3.53</v>
      </c>
      <c r="F132" s="39">
        <v>1.7512494000000001</v>
      </c>
      <c r="G132" s="38">
        <v>0.50585066000000001</v>
      </c>
      <c r="H132" s="38">
        <v>0.33440180000000003</v>
      </c>
      <c r="I132" s="38">
        <v>0.24685948999999999</v>
      </c>
      <c r="J132" s="38">
        <v>3.2120360000000001E-2</v>
      </c>
      <c r="K132" s="38">
        <v>0.32140418999999998</v>
      </c>
      <c r="L132" s="40">
        <v>3.1918858999999999</v>
      </c>
    </row>
    <row r="133" spans="1:12" hidden="1">
      <c r="A133" s="37" t="s">
        <v>920</v>
      </c>
      <c r="B133" s="37"/>
      <c r="C133" s="37" t="s">
        <v>921</v>
      </c>
      <c r="D133" s="64">
        <v>16030</v>
      </c>
      <c r="E133" s="38">
        <v>2.5299999999999998</v>
      </c>
      <c r="F133" s="39">
        <v>25.924868</v>
      </c>
      <c r="G133" s="38">
        <v>0.21405113000000001</v>
      </c>
      <c r="H133" s="38">
        <v>0.17741768999999999</v>
      </c>
      <c r="I133" s="38">
        <v>0.42247779000000002</v>
      </c>
      <c r="J133" s="38">
        <v>1.5675629999999999E-2</v>
      </c>
      <c r="K133" s="38">
        <v>0</v>
      </c>
      <c r="L133" s="40">
        <v>26.754490239999999</v>
      </c>
    </row>
    <row r="134" spans="1:12" hidden="1">
      <c r="A134" s="41" t="s">
        <v>922</v>
      </c>
      <c r="B134" s="41"/>
      <c r="C134" s="41" t="s">
        <v>894</v>
      </c>
      <c r="D134" s="65">
        <v>11507</v>
      </c>
      <c r="E134" s="42">
        <v>2.97</v>
      </c>
      <c r="F134" s="43">
        <v>0</v>
      </c>
      <c r="G134" s="42">
        <v>0.90116903999999998</v>
      </c>
      <c r="H134" s="42">
        <v>0.10086320999999999</v>
      </c>
      <c r="I134" s="42">
        <v>0.10851091</v>
      </c>
      <c r="J134" s="42">
        <v>1.6060356000000001E-2</v>
      </c>
      <c r="K134" s="42">
        <v>0</v>
      </c>
      <c r="L134" s="44">
        <v>1.1266035160000001</v>
      </c>
    </row>
    <row r="135" spans="1:12" hidden="1">
      <c r="A135" s="37" t="s">
        <v>923</v>
      </c>
      <c r="B135" s="37"/>
      <c r="C135" s="37" t="s">
        <v>657</v>
      </c>
      <c r="D135" s="64">
        <v>5001</v>
      </c>
      <c r="E135" s="38">
        <v>2.84</v>
      </c>
      <c r="F135" s="39">
        <v>6.4228911999999999E-2</v>
      </c>
      <c r="G135" s="38">
        <v>0.26196322999999999</v>
      </c>
      <c r="H135" s="38">
        <v>0.47782284000000003</v>
      </c>
      <c r="I135" s="38">
        <v>0.27284365999999999</v>
      </c>
      <c r="J135" s="38">
        <v>3.5836186999999999E-2</v>
      </c>
      <c r="K135" s="38">
        <v>6.6736979E-3</v>
      </c>
      <c r="L135" s="40">
        <v>1.1193685268999998</v>
      </c>
    </row>
    <row r="136" spans="1:12" hidden="1">
      <c r="A136" s="37" t="s">
        <v>924</v>
      </c>
      <c r="B136" s="37"/>
      <c r="C136" s="37" t="s">
        <v>657</v>
      </c>
      <c r="D136" s="64">
        <v>5011</v>
      </c>
      <c r="E136" s="38">
        <v>3.07</v>
      </c>
      <c r="F136" s="39">
        <v>6.4228911999999999E-2</v>
      </c>
      <c r="G136" s="38">
        <v>0.26196322999999999</v>
      </c>
      <c r="H136" s="38">
        <v>0.47782284000000003</v>
      </c>
      <c r="I136" s="38">
        <v>0.27284365999999999</v>
      </c>
      <c r="J136" s="38">
        <v>3.5836186999999999E-2</v>
      </c>
      <c r="K136" s="38">
        <v>6.6736979E-3</v>
      </c>
      <c r="L136" s="40">
        <v>1.1193685268999998</v>
      </c>
    </row>
    <row r="137" spans="1:12" hidden="1">
      <c r="A137" s="37" t="s">
        <v>925</v>
      </c>
      <c r="B137" s="37"/>
      <c r="C137" s="37" t="s">
        <v>657</v>
      </c>
      <c r="D137" s="64">
        <v>5010</v>
      </c>
      <c r="E137" s="38">
        <v>3.07</v>
      </c>
      <c r="F137" s="39">
        <v>6.4228911999999999E-2</v>
      </c>
      <c r="G137" s="38">
        <v>0.26196322999999999</v>
      </c>
      <c r="H137" s="38">
        <v>0.47782284000000003</v>
      </c>
      <c r="I137" s="38">
        <v>0.27284365999999999</v>
      </c>
      <c r="J137" s="38">
        <v>3.5836186999999999E-2</v>
      </c>
      <c r="K137" s="38">
        <v>6.6736979E-3</v>
      </c>
      <c r="L137" s="40">
        <v>1.1193685268999998</v>
      </c>
    </row>
    <row r="138" spans="1:12" hidden="1">
      <c r="A138" s="37" t="s">
        <v>926</v>
      </c>
      <c r="B138" s="37"/>
      <c r="C138" s="37" t="s">
        <v>657</v>
      </c>
      <c r="D138" s="64">
        <v>5000</v>
      </c>
      <c r="E138" s="38">
        <v>3.07</v>
      </c>
      <c r="F138" s="39">
        <v>6.4228911999999999E-2</v>
      </c>
      <c r="G138" s="38">
        <v>0.26196322999999999</v>
      </c>
      <c r="H138" s="38">
        <v>0.47782284000000003</v>
      </c>
      <c r="I138" s="38">
        <v>0.27284365999999999</v>
      </c>
      <c r="J138" s="38">
        <v>3.5836186999999999E-2</v>
      </c>
      <c r="K138" s="38">
        <v>6.6736979E-3</v>
      </c>
      <c r="L138" s="40">
        <v>1.1193685268999998</v>
      </c>
    </row>
    <row r="139" spans="1:12" hidden="1">
      <c r="A139" s="37" t="s">
        <v>927</v>
      </c>
      <c r="B139" s="37"/>
      <c r="C139" s="37" t="s">
        <v>657</v>
      </c>
      <c r="D139" s="64">
        <v>5008</v>
      </c>
      <c r="E139" s="38">
        <v>3.07</v>
      </c>
      <c r="F139" s="39">
        <v>6.4228911999999999E-2</v>
      </c>
      <c r="G139" s="38">
        <v>0.26196322999999999</v>
      </c>
      <c r="H139" s="38">
        <v>0.47782284000000003</v>
      </c>
      <c r="I139" s="38">
        <v>0.27284365999999999</v>
      </c>
      <c r="J139" s="38">
        <v>3.5836186999999999E-2</v>
      </c>
      <c r="K139" s="38">
        <v>6.6736979E-3</v>
      </c>
      <c r="L139" s="40">
        <v>1.1193685268999998</v>
      </c>
    </row>
    <row r="140" spans="1:12" hidden="1">
      <c r="A140" s="37" t="s">
        <v>928</v>
      </c>
      <c r="B140" s="37"/>
      <c r="C140" s="37" t="s">
        <v>657</v>
      </c>
      <c r="D140" s="64">
        <v>5002</v>
      </c>
      <c r="E140" s="38">
        <v>3.07</v>
      </c>
      <c r="F140" s="39">
        <v>6.4228911999999999E-2</v>
      </c>
      <c r="G140" s="38">
        <v>0.26196322999999999</v>
      </c>
      <c r="H140" s="38">
        <v>0.47782284000000003</v>
      </c>
      <c r="I140" s="38">
        <v>0.27284365999999999</v>
      </c>
      <c r="J140" s="38">
        <v>3.5836186999999999E-2</v>
      </c>
      <c r="K140" s="38">
        <v>6.6736979E-3</v>
      </c>
      <c r="L140" s="40">
        <v>1.1193685268999998</v>
      </c>
    </row>
    <row r="141" spans="1:12" hidden="1">
      <c r="A141" s="37" t="s">
        <v>929</v>
      </c>
      <c r="B141" s="37"/>
      <c r="C141" s="37" t="s">
        <v>657</v>
      </c>
      <c r="D141" s="64">
        <v>5030</v>
      </c>
      <c r="E141" s="38">
        <v>3.07</v>
      </c>
      <c r="F141" s="39">
        <v>6.4228911999999999E-2</v>
      </c>
      <c r="G141" s="38">
        <v>0.26196322999999999</v>
      </c>
      <c r="H141" s="38">
        <v>0.47782284000000003</v>
      </c>
      <c r="I141" s="38">
        <v>0.27284365999999999</v>
      </c>
      <c r="J141" s="38">
        <v>3.5836186999999999E-2</v>
      </c>
      <c r="K141" s="38">
        <v>6.6736979E-3</v>
      </c>
      <c r="L141" s="40">
        <v>1.1193685268999998</v>
      </c>
    </row>
    <row r="142" spans="1:12" hidden="1">
      <c r="A142" s="41" t="s">
        <v>930</v>
      </c>
      <c r="B142" s="41"/>
      <c r="C142" s="41" t="s">
        <v>861</v>
      </c>
      <c r="D142" s="65">
        <v>7301</v>
      </c>
      <c r="E142" s="42">
        <v>2.27</v>
      </c>
      <c r="F142" s="43">
        <v>0.43320593000000002</v>
      </c>
      <c r="G142" s="42">
        <v>0.28054926000000002</v>
      </c>
      <c r="H142" s="42">
        <v>0.10990298</v>
      </c>
      <c r="I142" s="42">
        <v>0.11981856</v>
      </c>
      <c r="J142" s="42">
        <v>4.7861880000000002E-3</v>
      </c>
      <c r="K142" s="42">
        <v>0</v>
      </c>
      <c r="L142" s="44">
        <v>0.94826291800000007</v>
      </c>
    </row>
    <row r="143" spans="1:12" hidden="1">
      <c r="A143" s="41" t="s">
        <v>931</v>
      </c>
      <c r="B143" s="41"/>
      <c r="C143" s="41" t="s">
        <v>861</v>
      </c>
      <c r="D143" s="65">
        <v>7300</v>
      </c>
      <c r="E143" s="42">
        <v>1.88</v>
      </c>
      <c r="F143" s="43">
        <v>0.43320593000000002</v>
      </c>
      <c r="G143" s="42">
        <v>0.28054926000000002</v>
      </c>
      <c r="H143" s="42">
        <v>0.10990298</v>
      </c>
      <c r="I143" s="42">
        <v>0.11981856</v>
      </c>
      <c r="J143" s="42">
        <v>4.7861880000000002E-3</v>
      </c>
      <c r="K143" s="42">
        <v>0</v>
      </c>
      <c r="L143" s="44">
        <v>0.94826291800000007</v>
      </c>
    </row>
    <row r="144" spans="1:12" hidden="1">
      <c r="A144" s="41" t="s">
        <v>932</v>
      </c>
      <c r="B144" s="41"/>
      <c r="C144" s="41" t="s">
        <v>861</v>
      </c>
      <c r="D144" s="65">
        <v>7340</v>
      </c>
      <c r="E144" s="42">
        <v>2.27</v>
      </c>
      <c r="F144" s="43">
        <v>0.43320593000000002</v>
      </c>
      <c r="G144" s="42">
        <v>0.28054926000000002</v>
      </c>
      <c r="H144" s="42">
        <v>0.10990298</v>
      </c>
      <c r="I144" s="42">
        <v>0.11981856</v>
      </c>
      <c r="J144" s="42">
        <v>4.7861880000000002E-3</v>
      </c>
      <c r="K144" s="42">
        <v>0</v>
      </c>
      <c r="L144" s="44">
        <v>0.94826291800000007</v>
      </c>
    </row>
    <row r="145" spans="1:12" hidden="1">
      <c r="A145" s="41" t="s">
        <v>933</v>
      </c>
      <c r="B145" s="41"/>
      <c r="C145" s="41" t="s">
        <v>861</v>
      </c>
      <c r="D145" s="65">
        <v>7330</v>
      </c>
      <c r="E145" s="42">
        <v>2.27</v>
      </c>
      <c r="F145" s="43">
        <v>0.43320593000000002</v>
      </c>
      <c r="G145" s="42">
        <v>0.28054926000000002</v>
      </c>
      <c r="H145" s="42">
        <v>0.10990298</v>
      </c>
      <c r="I145" s="42">
        <v>0.11981856</v>
      </c>
      <c r="J145" s="42">
        <v>4.7861880000000002E-3</v>
      </c>
      <c r="K145" s="42">
        <v>0</v>
      </c>
      <c r="L145" s="44">
        <v>0.94826291800000007</v>
      </c>
    </row>
    <row r="146" spans="1:12" hidden="1">
      <c r="A146" s="41" t="s">
        <v>934</v>
      </c>
      <c r="B146" s="41"/>
      <c r="C146" s="41" t="s">
        <v>861</v>
      </c>
      <c r="D146" s="65">
        <v>7310</v>
      </c>
      <c r="E146" s="42">
        <v>2.27</v>
      </c>
      <c r="F146" s="43">
        <v>0.43320593000000002</v>
      </c>
      <c r="G146" s="42">
        <v>0.28054926000000002</v>
      </c>
      <c r="H146" s="42">
        <v>0.10990298</v>
      </c>
      <c r="I146" s="42">
        <v>0.11981856</v>
      </c>
      <c r="J146" s="42">
        <v>4.7861880000000002E-3</v>
      </c>
      <c r="K146" s="42">
        <v>0</v>
      </c>
      <c r="L146" s="44">
        <v>0.94826291800000007</v>
      </c>
    </row>
    <row r="147" spans="1:12" hidden="1">
      <c r="A147" s="41" t="s">
        <v>935</v>
      </c>
      <c r="B147" s="41"/>
      <c r="C147" s="41" t="s">
        <v>623</v>
      </c>
      <c r="D147" s="65">
        <v>38405</v>
      </c>
      <c r="E147" s="42">
        <v>2.68</v>
      </c>
      <c r="F147" s="43">
        <v>0.85124334999999995</v>
      </c>
      <c r="G147" s="42">
        <v>0.29801520999999997</v>
      </c>
      <c r="H147" s="42">
        <v>0.28132688</v>
      </c>
      <c r="I147" s="42">
        <v>0.13754464</v>
      </c>
      <c r="J147" s="42">
        <v>1.9437894000000001E-2</v>
      </c>
      <c r="K147" s="42">
        <v>0</v>
      </c>
      <c r="L147" s="44">
        <v>1.5875679739999997</v>
      </c>
    </row>
    <row r="148" spans="1:12" hidden="1">
      <c r="A148" s="41" t="s">
        <v>936</v>
      </c>
      <c r="B148" s="41"/>
      <c r="C148" s="41" t="s">
        <v>623</v>
      </c>
      <c r="D148" s="65">
        <v>38407</v>
      </c>
      <c r="E148" s="42">
        <v>2.68</v>
      </c>
      <c r="F148" s="43">
        <v>0.85124334999999995</v>
      </c>
      <c r="G148" s="42">
        <v>0.29801520999999997</v>
      </c>
      <c r="H148" s="42">
        <v>0.28132688</v>
      </c>
      <c r="I148" s="42">
        <v>0.13754464</v>
      </c>
      <c r="J148" s="42">
        <v>1.9437894000000001E-2</v>
      </c>
      <c r="K148" s="42">
        <v>0</v>
      </c>
      <c r="L148" s="44">
        <v>1.5875679739999997</v>
      </c>
    </row>
    <row r="149" spans="1:12" hidden="1">
      <c r="A149" s="41" t="s">
        <v>937</v>
      </c>
      <c r="B149" s="41"/>
      <c r="C149" s="41" t="s">
        <v>623</v>
      </c>
      <c r="D149" s="65">
        <v>38404</v>
      </c>
      <c r="E149" s="42">
        <v>2.68</v>
      </c>
      <c r="F149" s="43">
        <v>0.85124334999999995</v>
      </c>
      <c r="G149" s="42">
        <v>0.29801520999999997</v>
      </c>
      <c r="H149" s="42">
        <v>0.28132688</v>
      </c>
      <c r="I149" s="42">
        <v>0.13754464</v>
      </c>
      <c r="J149" s="42">
        <v>1.9437894000000001E-2</v>
      </c>
      <c r="K149" s="42">
        <v>0</v>
      </c>
      <c r="L149" s="44">
        <v>1.5875679739999997</v>
      </c>
    </row>
    <row r="150" spans="1:12" hidden="1">
      <c r="A150" s="41" t="s">
        <v>938</v>
      </c>
      <c r="B150" s="41"/>
      <c r="C150" s="41" t="s">
        <v>623</v>
      </c>
      <c r="D150" s="65">
        <v>38400</v>
      </c>
      <c r="E150" s="42">
        <v>2.68</v>
      </c>
      <c r="F150" s="43">
        <v>0.85124334999999995</v>
      </c>
      <c r="G150" s="42">
        <v>0.29801520999999997</v>
      </c>
      <c r="H150" s="42">
        <v>0.28132688</v>
      </c>
      <c r="I150" s="42">
        <v>0.13754464</v>
      </c>
      <c r="J150" s="42">
        <v>1.9437894000000001E-2</v>
      </c>
      <c r="K150" s="42">
        <v>0</v>
      </c>
      <c r="L150" s="44">
        <v>1.5875679739999997</v>
      </c>
    </row>
    <row r="151" spans="1:12" hidden="1">
      <c r="A151" s="41" t="s">
        <v>939</v>
      </c>
      <c r="B151" s="41"/>
      <c r="C151" s="41" t="s">
        <v>623</v>
      </c>
      <c r="D151" s="65">
        <v>38106</v>
      </c>
      <c r="E151" s="42">
        <v>2.68</v>
      </c>
      <c r="F151" s="43">
        <v>0.85124334999999995</v>
      </c>
      <c r="G151" s="42">
        <v>0.29801520999999997</v>
      </c>
      <c r="H151" s="42">
        <v>0.28132688</v>
      </c>
      <c r="I151" s="42">
        <v>0.13754464</v>
      </c>
      <c r="J151" s="42">
        <v>1.9437894000000001E-2</v>
      </c>
      <c r="K151" s="42">
        <v>0</v>
      </c>
      <c r="L151" s="44">
        <v>1.5875679739999997</v>
      </c>
    </row>
    <row r="152" spans="1:12" hidden="1">
      <c r="A152" s="41" t="s">
        <v>940</v>
      </c>
      <c r="B152" s="41"/>
      <c r="C152" s="41" t="s">
        <v>623</v>
      </c>
      <c r="D152" s="65">
        <v>38108</v>
      </c>
      <c r="E152" s="42">
        <v>2.68</v>
      </c>
      <c r="F152" s="43">
        <v>0.85124334999999995</v>
      </c>
      <c r="G152" s="42">
        <v>0.29801520999999997</v>
      </c>
      <c r="H152" s="42">
        <v>0.28132688</v>
      </c>
      <c r="I152" s="42">
        <v>0.13754464</v>
      </c>
      <c r="J152" s="42">
        <v>1.9437894000000001E-2</v>
      </c>
      <c r="K152" s="42">
        <v>0</v>
      </c>
      <c r="L152" s="44">
        <v>1.5875679739999997</v>
      </c>
    </row>
    <row r="153" spans="1:12" hidden="1">
      <c r="A153" s="41" t="s">
        <v>941</v>
      </c>
      <c r="B153" s="41"/>
      <c r="C153" s="41" t="s">
        <v>623</v>
      </c>
      <c r="D153" s="65">
        <v>38401</v>
      </c>
      <c r="E153" s="42">
        <v>2.68</v>
      </c>
      <c r="F153" s="43">
        <v>0.85124334999999995</v>
      </c>
      <c r="G153" s="42">
        <v>0.29801520999999997</v>
      </c>
      <c r="H153" s="42">
        <v>0.28132688</v>
      </c>
      <c r="I153" s="42">
        <v>0.13754464</v>
      </c>
      <c r="J153" s="42">
        <v>1.9437894000000001E-2</v>
      </c>
      <c r="K153" s="42">
        <v>0</v>
      </c>
      <c r="L153" s="44">
        <v>1.5875679739999997</v>
      </c>
    </row>
    <row r="154" spans="1:12" hidden="1">
      <c r="A154" s="41" t="s">
        <v>942</v>
      </c>
      <c r="B154" s="41"/>
      <c r="C154" s="41" t="s">
        <v>623</v>
      </c>
      <c r="D154" s="65">
        <v>38402</v>
      </c>
      <c r="E154" s="42">
        <v>2.2799999999999998</v>
      </c>
      <c r="F154" s="43">
        <v>0.85124334999999995</v>
      </c>
      <c r="G154" s="42">
        <v>0.29801520999999997</v>
      </c>
      <c r="H154" s="42">
        <v>0.28132688</v>
      </c>
      <c r="I154" s="42">
        <v>0.13754464</v>
      </c>
      <c r="J154" s="42">
        <v>1.9437894000000001E-2</v>
      </c>
      <c r="K154" s="42">
        <v>0</v>
      </c>
      <c r="L154" s="44">
        <v>1.5875679739999997</v>
      </c>
    </row>
    <row r="155" spans="1:12" hidden="1">
      <c r="A155" s="41" t="s">
        <v>943</v>
      </c>
      <c r="B155" s="41"/>
      <c r="C155" s="41" t="s">
        <v>623</v>
      </c>
      <c r="D155" s="65">
        <v>38403</v>
      </c>
      <c r="E155" s="42">
        <v>2.68</v>
      </c>
      <c r="F155" s="43">
        <v>0.85124334999999995</v>
      </c>
      <c r="G155" s="42">
        <v>0.29801520999999997</v>
      </c>
      <c r="H155" s="42">
        <v>0.28132688</v>
      </c>
      <c r="I155" s="42">
        <v>0.13754464</v>
      </c>
      <c r="J155" s="42">
        <v>1.9437894000000001E-2</v>
      </c>
      <c r="K155" s="42">
        <v>0</v>
      </c>
      <c r="L155" s="44">
        <v>1.5875679739999997</v>
      </c>
    </row>
    <row r="156" spans="1:12" hidden="1">
      <c r="A156" s="41" t="s">
        <v>944</v>
      </c>
      <c r="B156" s="41"/>
      <c r="C156" s="41" t="s">
        <v>623</v>
      </c>
      <c r="D156" s="65">
        <v>38107</v>
      </c>
      <c r="E156" s="42">
        <v>2.68</v>
      </c>
      <c r="F156" s="43">
        <v>0.85124334999999995</v>
      </c>
      <c r="G156" s="42">
        <v>0.29801520999999997</v>
      </c>
      <c r="H156" s="42">
        <v>0.28132688</v>
      </c>
      <c r="I156" s="42">
        <v>0.13754464</v>
      </c>
      <c r="J156" s="42">
        <v>1.9437894000000001E-2</v>
      </c>
      <c r="K156" s="42">
        <v>0</v>
      </c>
      <c r="L156" s="44">
        <v>1.5875679739999997</v>
      </c>
    </row>
    <row r="157" spans="1:12" hidden="1">
      <c r="A157" s="37" t="s">
        <v>945</v>
      </c>
      <c r="B157" s="37"/>
      <c r="C157" s="37" t="s">
        <v>623</v>
      </c>
      <c r="D157" s="64">
        <v>24041</v>
      </c>
      <c r="E157" s="38">
        <v>2.5299999999999998</v>
      </c>
      <c r="F157" s="39">
        <v>2.3635185000000001</v>
      </c>
      <c r="G157" s="38">
        <v>0.22831583999999999</v>
      </c>
      <c r="H157" s="38">
        <v>0.10986902</v>
      </c>
      <c r="I157" s="38">
        <v>0.13508917000000001</v>
      </c>
      <c r="J157" s="38">
        <v>1.9437894000000001E-2</v>
      </c>
      <c r="K157" s="38">
        <v>0</v>
      </c>
      <c r="L157" s="40">
        <v>2.8562304240000005</v>
      </c>
    </row>
    <row r="158" spans="1:12" hidden="1">
      <c r="A158" s="41" t="s">
        <v>946</v>
      </c>
      <c r="B158" s="41"/>
      <c r="C158" s="41" t="s">
        <v>668</v>
      </c>
      <c r="D158" s="65">
        <v>23050</v>
      </c>
      <c r="E158" s="42">
        <v>2.25</v>
      </c>
      <c r="F158" s="43">
        <v>2.1255234999999999</v>
      </c>
      <c r="G158" s="42">
        <v>0.29701685</v>
      </c>
      <c r="H158" s="42">
        <v>0.28781929000000001</v>
      </c>
      <c r="I158" s="42">
        <v>0.15283654999999999</v>
      </c>
      <c r="J158" s="42">
        <v>1.9437894000000001E-2</v>
      </c>
      <c r="K158" s="42">
        <v>0</v>
      </c>
      <c r="L158" s="44">
        <v>2.8826340839999998</v>
      </c>
    </row>
    <row r="159" spans="1:12" hidden="1">
      <c r="A159" s="41" t="s">
        <v>947</v>
      </c>
      <c r="B159" s="41"/>
      <c r="C159" s="41" t="s">
        <v>623</v>
      </c>
      <c r="D159" s="65">
        <v>24680</v>
      </c>
      <c r="E159" s="42">
        <v>2.92</v>
      </c>
      <c r="F159" s="43">
        <v>1.7392837000000001</v>
      </c>
      <c r="G159" s="42">
        <v>0.23538554</v>
      </c>
      <c r="H159" s="42">
        <v>0.1098401</v>
      </c>
      <c r="I159" s="42">
        <v>0.16840188</v>
      </c>
      <c r="J159" s="42">
        <v>1.9437894000000001E-2</v>
      </c>
      <c r="K159" s="42">
        <v>0</v>
      </c>
      <c r="L159" s="44">
        <v>2.2723491140000007</v>
      </c>
    </row>
    <row r="160" spans="1:12" hidden="1">
      <c r="A160" s="37" t="s">
        <v>948</v>
      </c>
      <c r="B160" s="37"/>
      <c r="C160" s="37" t="s">
        <v>623</v>
      </c>
      <c r="D160" s="64">
        <v>24060</v>
      </c>
      <c r="E160" s="38">
        <v>3.06</v>
      </c>
      <c r="F160" s="39">
        <v>1.3126001</v>
      </c>
      <c r="G160" s="38">
        <v>0.25013352</v>
      </c>
      <c r="H160" s="38">
        <v>0.10982019</v>
      </c>
      <c r="I160" s="38">
        <v>0.13613248</v>
      </c>
      <c r="J160" s="38">
        <v>1.9437894000000001E-2</v>
      </c>
      <c r="K160" s="38">
        <v>0</v>
      </c>
      <c r="L160" s="40">
        <v>1.8281241839999998</v>
      </c>
    </row>
    <row r="161" spans="1:12" hidden="1">
      <c r="A161" s="37" t="s">
        <v>949</v>
      </c>
      <c r="B161" s="37"/>
      <c r="C161" s="37" t="s">
        <v>950</v>
      </c>
      <c r="D161" s="64">
        <v>24689</v>
      </c>
      <c r="E161" s="38">
        <v>2.72</v>
      </c>
      <c r="F161" s="39">
        <v>1.3126001</v>
      </c>
      <c r="G161" s="38">
        <v>0.25013352</v>
      </c>
      <c r="H161" s="38">
        <v>0.10982019</v>
      </c>
      <c r="I161" s="38">
        <v>0.13613248</v>
      </c>
      <c r="J161" s="38">
        <v>1.9437894000000001E-2</v>
      </c>
      <c r="K161" s="38">
        <v>0</v>
      </c>
      <c r="L161" s="40">
        <v>1.8281241839999998</v>
      </c>
    </row>
    <row r="162" spans="1:12" hidden="1">
      <c r="A162" s="37" t="s">
        <v>951</v>
      </c>
      <c r="B162" s="37"/>
      <c r="C162" s="37" t="s">
        <v>623</v>
      </c>
      <c r="D162" s="64">
        <v>24678</v>
      </c>
      <c r="E162" s="38">
        <v>2.5299999999999998</v>
      </c>
      <c r="F162" s="39">
        <v>1.7392837000000001</v>
      </c>
      <c r="G162" s="38">
        <v>0.23538554</v>
      </c>
      <c r="H162" s="38">
        <v>0.1098401</v>
      </c>
      <c r="I162" s="38">
        <v>0.16840188</v>
      </c>
      <c r="J162" s="38">
        <v>1.9437894000000001E-2</v>
      </c>
      <c r="K162" s="38">
        <v>0</v>
      </c>
      <c r="L162" s="40">
        <v>2.2723491140000007</v>
      </c>
    </row>
    <row r="163" spans="1:12" hidden="1">
      <c r="A163" s="37" t="s">
        <v>952</v>
      </c>
      <c r="B163" s="37"/>
      <c r="C163" s="37" t="s">
        <v>623</v>
      </c>
      <c r="D163" s="64">
        <v>24002</v>
      </c>
      <c r="E163" s="38">
        <v>2.67</v>
      </c>
      <c r="F163" s="39">
        <v>1.3126001</v>
      </c>
      <c r="G163" s="38">
        <v>0.25013352</v>
      </c>
      <c r="H163" s="38">
        <v>0.10982019</v>
      </c>
      <c r="I163" s="38">
        <v>0.13613248</v>
      </c>
      <c r="J163" s="38">
        <v>1.9437894000000001E-2</v>
      </c>
      <c r="K163" s="38">
        <v>0</v>
      </c>
      <c r="L163" s="40">
        <v>1.8281241839999998</v>
      </c>
    </row>
    <row r="164" spans="1:12" hidden="1">
      <c r="A164" s="37" t="s">
        <v>953</v>
      </c>
      <c r="B164" s="37"/>
      <c r="C164" s="37" t="s">
        <v>623</v>
      </c>
      <c r="D164" s="64">
        <v>24003</v>
      </c>
      <c r="E164" s="38">
        <v>2.5299999999999998</v>
      </c>
      <c r="F164" s="39">
        <v>2.3635185000000001</v>
      </c>
      <c r="G164" s="38">
        <v>0.22831583999999999</v>
      </c>
      <c r="H164" s="38">
        <v>0.10986902</v>
      </c>
      <c r="I164" s="38">
        <v>0.13508917000000001</v>
      </c>
      <c r="J164" s="38">
        <v>1.9437894000000001E-2</v>
      </c>
      <c r="K164" s="38">
        <v>0</v>
      </c>
      <c r="L164" s="40">
        <v>2.8562304240000005</v>
      </c>
    </row>
    <row r="165" spans="1:12" hidden="1">
      <c r="A165" s="37" t="s">
        <v>954</v>
      </c>
      <c r="B165" s="37"/>
      <c r="C165" s="37" t="s">
        <v>623</v>
      </c>
      <c r="D165" s="64">
        <v>24049</v>
      </c>
      <c r="E165" s="38">
        <v>2.85</v>
      </c>
      <c r="F165" s="39">
        <v>2.7008291</v>
      </c>
      <c r="G165" s="38">
        <v>0.23488531000000001</v>
      </c>
      <c r="H165" s="38">
        <v>0.10985729</v>
      </c>
      <c r="I165" s="38">
        <v>0.13750325999999999</v>
      </c>
      <c r="J165" s="38">
        <v>1.9437894000000001E-2</v>
      </c>
      <c r="K165" s="38">
        <v>0</v>
      </c>
      <c r="L165" s="40">
        <v>3.2025128540000001</v>
      </c>
    </row>
    <row r="166" spans="1:12" hidden="1">
      <c r="A166" s="37" t="s">
        <v>955</v>
      </c>
      <c r="B166" s="37"/>
      <c r="C166" s="37" t="s">
        <v>623</v>
      </c>
      <c r="D166" s="64">
        <v>24050</v>
      </c>
      <c r="E166" s="38">
        <v>2.0299999999999998</v>
      </c>
      <c r="F166" s="39">
        <v>5.2974398000000003</v>
      </c>
      <c r="G166" s="38">
        <v>0.25035551</v>
      </c>
      <c r="H166" s="38">
        <v>0.10985896000000001</v>
      </c>
      <c r="I166" s="38">
        <v>0.17120092000000001</v>
      </c>
      <c r="J166" s="38">
        <v>1.9437894000000001E-2</v>
      </c>
      <c r="K166" s="38">
        <v>0</v>
      </c>
      <c r="L166" s="40">
        <v>5.8482930840000016</v>
      </c>
    </row>
    <row r="167" spans="1:12" hidden="1">
      <c r="A167" s="37" t="s">
        <v>956</v>
      </c>
      <c r="B167" s="37"/>
      <c r="C167" s="37" t="s">
        <v>623</v>
      </c>
      <c r="D167" s="64">
        <v>24030</v>
      </c>
      <c r="E167" s="38">
        <v>2.5299999999999998</v>
      </c>
      <c r="F167" s="39">
        <v>1.7289893000000001</v>
      </c>
      <c r="G167" s="38">
        <v>0.21655425</v>
      </c>
      <c r="H167" s="38">
        <v>0.109886</v>
      </c>
      <c r="I167" s="38">
        <v>0.1278117</v>
      </c>
      <c r="J167" s="38">
        <v>1.9437894000000001E-2</v>
      </c>
      <c r="K167" s="38">
        <v>0</v>
      </c>
      <c r="L167" s="40">
        <v>2.2026791440000002</v>
      </c>
    </row>
    <row r="168" spans="1:12" hidden="1">
      <c r="A168" s="37" t="s">
        <v>957</v>
      </c>
      <c r="B168" s="37"/>
      <c r="C168" s="37" t="s">
        <v>623</v>
      </c>
      <c r="D168" s="64">
        <v>24004</v>
      </c>
      <c r="E168" s="38">
        <v>2.5299999999999998</v>
      </c>
      <c r="F168" s="39">
        <v>1.7392837000000001</v>
      </c>
      <c r="G168" s="38">
        <v>0.23538554</v>
      </c>
      <c r="H168" s="38">
        <v>0.1098401</v>
      </c>
      <c r="I168" s="38">
        <v>0.16840188</v>
      </c>
      <c r="J168" s="38">
        <v>1.9437894000000001E-2</v>
      </c>
      <c r="K168" s="38">
        <v>0</v>
      </c>
      <c r="L168" s="40">
        <v>2.2723491140000007</v>
      </c>
    </row>
    <row r="169" spans="1:12" hidden="1">
      <c r="A169" s="37" t="s">
        <v>958</v>
      </c>
      <c r="B169" s="37"/>
      <c r="C169" s="37" t="s">
        <v>623</v>
      </c>
      <c r="D169" s="64">
        <v>24430</v>
      </c>
      <c r="E169" s="38">
        <v>2.2799999999999998</v>
      </c>
      <c r="F169" s="39">
        <v>1.3126001</v>
      </c>
      <c r="G169" s="38">
        <v>0.25013352</v>
      </c>
      <c r="H169" s="38">
        <v>0.10982019</v>
      </c>
      <c r="I169" s="38">
        <v>0.13613248</v>
      </c>
      <c r="J169" s="38">
        <v>1.9437894000000001E-2</v>
      </c>
      <c r="K169" s="38">
        <v>0</v>
      </c>
      <c r="L169" s="40">
        <v>1.8281241839999998</v>
      </c>
    </row>
    <row r="170" spans="1:12" hidden="1">
      <c r="A170" s="37" t="s">
        <v>959</v>
      </c>
      <c r="B170" s="37"/>
      <c r="C170" s="37" t="s">
        <v>623</v>
      </c>
      <c r="D170" s="64">
        <v>24038</v>
      </c>
      <c r="E170" s="38">
        <v>2.2000000000000002</v>
      </c>
      <c r="F170" s="39">
        <v>5.9889308000000003</v>
      </c>
      <c r="G170" s="38">
        <v>0.33136843999999999</v>
      </c>
      <c r="H170" s="38">
        <v>0.10982941</v>
      </c>
      <c r="I170" s="38">
        <v>0.20759383000000001</v>
      </c>
      <c r="J170" s="38">
        <v>1.9437894000000001E-2</v>
      </c>
      <c r="K170" s="38">
        <v>0</v>
      </c>
      <c r="L170" s="40">
        <v>6.6571603740000009</v>
      </c>
    </row>
    <row r="171" spans="1:12" hidden="1">
      <c r="A171" s="37" t="s">
        <v>960</v>
      </c>
      <c r="B171" s="37"/>
      <c r="C171" s="37" t="s">
        <v>623</v>
      </c>
      <c r="D171" s="64">
        <v>24016</v>
      </c>
      <c r="E171" s="38">
        <v>2.59</v>
      </c>
      <c r="F171" s="39">
        <v>5.9889308000000003</v>
      </c>
      <c r="G171" s="38">
        <v>0.33136843999999999</v>
      </c>
      <c r="H171" s="38">
        <v>0.10982941</v>
      </c>
      <c r="I171" s="38">
        <v>0.20759383000000001</v>
      </c>
      <c r="J171" s="38">
        <v>1.9437894000000001E-2</v>
      </c>
      <c r="K171" s="38">
        <v>0</v>
      </c>
      <c r="L171" s="40">
        <v>6.6571603740000009</v>
      </c>
    </row>
    <row r="172" spans="1:12" hidden="1">
      <c r="A172" s="37" t="s">
        <v>961</v>
      </c>
      <c r="B172" s="37"/>
      <c r="C172" s="37" t="s">
        <v>623</v>
      </c>
      <c r="D172" s="64">
        <v>24036</v>
      </c>
      <c r="E172" s="38">
        <v>2.42</v>
      </c>
      <c r="F172" s="39">
        <v>5.2974398000000003</v>
      </c>
      <c r="G172" s="38">
        <v>0.25035551</v>
      </c>
      <c r="H172" s="38">
        <v>0.10985896000000001</v>
      </c>
      <c r="I172" s="38">
        <v>0.17120092000000001</v>
      </c>
      <c r="J172" s="38">
        <v>1.9437894000000001E-2</v>
      </c>
      <c r="K172" s="38">
        <v>0</v>
      </c>
      <c r="L172" s="40">
        <v>5.8482930840000016</v>
      </c>
    </row>
    <row r="173" spans="1:12" hidden="1">
      <c r="A173" s="37" t="s">
        <v>962</v>
      </c>
      <c r="B173" s="37"/>
      <c r="C173" s="37" t="s">
        <v>623</v>
      </c>
      <c r="D173" s="64">
        <v>24051</v>
      </c>
      <c r="E173" s="38">
        <v>2.42</v>
      </c>
      <c r="F173" s="39">
        <v>5.2974398000000003</v>
      </c>
      <c r="G173" s="38">
        <v>0.25035551</v>
      </c>
      <c r="H173" s="38">
        <v>0.10985896000000001</v>
      </c>
      <c r="I173" s="38">
        <v>0.17120092000000001</v>
      </c>
      <c r="J173" s="38">
        <v>1.9437894000000001E-2</v>
      </c>
      <c r="K173" s="38">
        <v>0</v>
      </c>
      <c r="L173" s="40">
        <v>5.8482930840000016</v>
      </c>
    </row>
    <row r="174" spans="1:12" hidden="1">
      <c r="A174" s="37" t="s">
        <v>963</v>
      </c>
      <c r="B174" s="37"/>
      <c r="C174" s="37" t="s">
        <v>623</v>
      </c>
      <c r="D174" s="64">
        <v>24053</v>
      </c>
      <c r="E174" s="38">
        <v>2.42</v>
      </c>
      <c r="F174" s="39">
        <v>5.2974398000000003</v>
      </c>
      <c r="G174" s="38">
        <v>0.25035551</v>
      </c>
      <c r="H174" s="38">
        <v>0.10985896000000001</v>
      </c>
      <c r="I174" s="38">
        <v>0.17120092000000001</v>
      </c>
      <c r="J174" s="38">
        <v>1.9437894000000001E-2</v>
      </c>
      <c r="K174" s="38">
        <v>0</v>
      </c>
      <c r="L174" s="40">
        <v>5.8482930840000016</v>
      </c>
    </row>
    <row r="175" spans="1:12" hidden="1">
      <c r="A175" s="37" t="s">
        <v>964</v>
      </c>
      <c r="B175" s="37"/>
      <c r="C175" s="37" t="s">
        <v>623</v>
      </c>
      <c r="D175" s="64">
        <v>24052</v>
      </c>
      <c r="E175" s="38">
        <v>2.42</v>
      </c>
      <c r="F175" s="39">
        <v>5.2974398000000003</v>
      </c>
      <c r="G175" s="38">
        <v>0.25035551</v>
      </c>
      <c r="H175" s="38">
        <v>0.10985896000000001</v>
      </c>
      <c r="I175" s="38">
        <v>0.17120092000000001</v>
      </c>
      <c r="J175" s="38">
        <v>1.9437894000000001E-2</v>
      </c>
      <c r="K175" s="38">
        <v>0</v>
      </c>
      <c r="L175" s="40">
        <v>5.8482930840000016</v>
      </c>
    </row>
    <row r="176" spans="1:12" hidden="1">
      <c r="A176" s="37" t="s">
        <v>965</v>
      </c>
      <c r="B176" s="37"/>
      <c r="C176" s="37" t="s">
        <v>623</v>
      </c>
      <c r="D176" s="64">
        <v>24031</v>
      </c>
      <c r="E176" s="38">
        <v>2.99</v>
      </c>
      <c r="F176" s="39">
        <v>2.4224226</v>
      </c>
      <c r="G176" s="38">
        <v>0.27519811999999999</v>
      </c>
      <c r="H176" s="38">
        <v>0.10980342</v>
      </c>
      <c r="I176" s="38">
        <v>0.18542713999999999</v>
      </c>
      <c r="J176" s="38">
        <v>1.9437894000000001E-2</v>
      </c>
      <c r="K176" s="38">
        <v>0</v>
      </c>
      <c r="L176" s="40">
        <v>3.0122891739999997</v>
      </c>
    </row>
    <row r="177" spans="1:12" hidden="1">
      <c r="A177" s="37" t="s">
        <v>966</v>
      </c>
      <c r="B177" s="37"/>
      <c r="C177" s="37" t="s">
        <v>623</v>
      </c>
      <c r="D177" s="64">
        <v>24007</v>
      </c>
      <c r="E177" s="38">
        <v>2.42</v>
      </c>
      <c r="F177" s="39">
        <v>5.2974398000000003</v>
      </c>
      <c r="G177" s="38">
        <v>0.25035551</v>
      </c>
      <c r="H177" s="38">
        <v>0.10985896000000001</v>
      </c>
      <c r="I177" s="38">
        <v>0.17120092000000001</v>
      </c>
      <c r="J177" s="38">
        <v>1.9437894000000001E-2</v>
      </c>
      <c r="K177" s="38">
        <v>0</v>
      </c>
      <c r="L177" s="40">
        <v>5.8482930840000016</v>
      </c>
    </row>
    <row r="178" spans="1:12" hidden="1">
      <c r="A178" s="37" t="s">
        <v>967</v>
      </c>
      <c r="B178" s="37"/>
      <c r="C178" s="37" t="s">
        <v>623</v>
      </c>
      <c r="D178" s="64">
        <v>24659</v>
      </c>
      <c r="E178" s="38">
        <v>2.14</v>
      </c>
      <c r="F178" s="39">
        <v>2.3352195999999998</v>
      </c>
      <c r="G178" s="38">
        <v>0.22674428999999999</v>
      </c>
      <c r="H178" s="38">
        <v>0.10984302999999999</v>
      </c>
      <c r="I178" s="38">
        <v>0.13370767</v>
      </c>
      <c r="J178" s="38">
        <v>1.9437894000000001E-2</v>
      </c>
      <c r="K178" s="38">
        <v>0</v>
      </c>
      <c r="L178" s="40">
        <v>2.8249524840000002</v>
      </c>
    </row>
    <row r="179" spans="1:12" hidden="1">
      <c r="A179" s="37" t="s">
        <v>968</v>
      </c>
      <c r="B179" s="37"/>
      <c r="C179" s="37" t="s">
        <v>623</v>
      </c>
      <c r="D179" s="64">
        <v>24037</v>
      </c>
      <c r="E179" s="38">
        <v>2.92</v>
      </c>
      <c r="F179" s="39">
        <v>1.7392837000000001</v>
      </c>
      <c r="G179" s="38">
        <v>0.23538554</v>
      </c>
      <c r="H179" s="38">
        <v>0.1098401</v>
      </c>
      <c r="I179" s="38">
        <v>0.16840188</v>
      </c>
      <c r="J179" s="38">
        <v>1.9437894000000001E-2</v>
      </c>
      <c r="K179" s="38">
        <v>0</v>
      </c>
      <c r="L179" s="40">
        <v>2.2723491140000007</v>
      </c>
    </row>
    <row r="180" spans="1:12" hidden="1">
      <c r="A180" s="37" t="s">
        <v>969</v>
      </c>
      <c r="B180" s="37"/>
      <c r="C180" s="37" t="s">
        <v>623</v>
      </c>
      <c r="D180" s="64">
        <v>24008</v>
      </c>
      <c r="E180" s="38">
        <v>2.5299999999999998</v>
      </c>
      <c r="F180" s="39">
        <v>1.7392837000000001</v>
      </c>
      <c r="G180" s="38">
        <v>0.23538554</v>
      </c>
      <c r="H180" s="38">
        <v>0.1098401</v>
      </c>
      <c r="I180" s="38">
        <v>0.16840188</v>
      </c>
      <c r="J180" s="38">
        <v>1.9437894000000001E-2</v>
      </c>
      <c r="K180" s="38">
        <v>0</v>
      </c>
      <c r="L180" s="40">
        <v>2.2723491140000007</v>
      </c>
    </row>
    <row r="181" spans="1:12" hidden="1">
      <c r="A181" s="37" t="s">
        <v>970</v>
      </c>
      <c r="B181" s="37"/>
      <c r="C181" s="37" t="s">
        <v>623</v>
      </c>
      <c r="D181" s="64">
        <v>24055</v>
      </c>
      <c r="E181" s="38">
        <v>2.99</v>
      </c>
      <c r="F181" s="39">
        <v>2.4224226</v>
      </c>
      <c r="G181" s="38">
        <v>0.27519811999999999</v>
      </c>
      <c r="H181" s="38">
        <v>0.10980342</v>
      </c>
      <c r="I181" s="38">
        <v>0.18542713999999999</v>
      </c>
      <c r="J181" s="38">
        <v>1.9437894000000001E-2</v>
      </c>
      <c r="K181" s="38">
        <v>0</v>
      </c>
      <c r="L181" s="40">
        <v>3.0122891739999997</v>
      </c>
    </row>
    <row r="182" spans="1:12" hidden="1">
      <c r="A182" s="37" t="s">
        <v>971</v>
      </c>
      <c r="B182" s="37"/>
      <c r="C182" s="37" t="s">
        <v>623</v>
      </c>
      <c r="D182" s="64">
        <v>24679</v>
      </c>
      <c r="E182" s="38">
        <v>2.14</v>
      </c>
      <c r="F182" s="39">
        <v>1.7392837000000001</v>
      </c>
      <c r="G182" s="38">
        <v>0.23538554</v>
      </c>
      <c r="H182" s="38">
        <v>0.1098401</v>
      </c>
      <c r="I182" s="38">
        <v>0.16840188</v>
      </c>
      <c r="J182" s="38">
        <v>1.9437894000000001E-2</v>
      </c>
      <c r="K182" s="38">
        <v>0</v>
      </c>
      <c r="L182" s="40">
        <v>2.2723491140000007</v>
      </c>
    </row>
    <row r="183" spans="1:12" hidden="1">
      <c r="A183" s="37" t="s">
        <v>972</v>
      </c>
      <c r="B183" s="37"/>
      <c r="C183" s="37" t="s">
        <v>623</v>
      </c>
      <c r="D183" s="64">
        <v>24001</v>
      </c>
      <c r="E183" s="38">
        <v>2.14</v>
      </c>
      <c r="F183" s="39">
        <v>2.3635185000000001</v>
      </c>
      <c r="G183" s="38">
        <v>0.22831583999999999</v>
      </c>
      <c r="H183" s="38">
        <v>0.10986902</v>
      </c>
      <c r="I183" s="38">
        <v>0.13508917000000001</v>
      </c>
      <c r="J183" s="38">
        <v>1.9437894000000001E-2</v>
      </c>
      <c r="K183" s="38">
        <v>0</v>
      </c>
      <c r="L183" s="40">
        <v>2.8562304240000005</v>
      </c>
    </row>
    <row r="184" spans="1:12" hidden="1">
      <c r="A184" s="37" t="s">
        <v>973</v>
      </c>
      <c r="B184" s="37"/>
      <c r="C184" s="37" t="s">
        <v>623</v>
      </c>
      <c r="D184" s="64">
        <v>24615</v>
      </c>
      <c r="E184" s="38">
        <v>2.6</v>
      </c>
      <c r="F184" s="39">
        <v>2.4224226</v>
      </c>
      <c r="G184" s="38">
        <v>0.27519811999999999</v>
      </c>
      <c r="H184" s="38">
        <v>0.10980342</v>
      </c>
      <c r="I184" s="38">
        <v>0.18542713999999999</v>
      </c>
      <c r="J184" s="38">
        <v>1.9437894000000001E-2</v>
      </c>
      <c r="K184" s="38">
        <v>0</v>
      </c>
      <c r="L184" s="40">
        <v>3.0122891739999997</v>
      </c>
    </row>
    <row r="185" spans="1:12" hidden="1">
      <c r="A185" s="37" t="s">
        <v>974</v>
      </c>
      <c r="B185" s="37"/>
      <c r="C185" s="37" t="s">
        <v>623</v>
      </c>
      <c r="D185" s="64">
        <v>24690</v>
      </c>
      <c r="E185" s="38">
        <v>2.5299999999999998</v>
      </c>
      <c r="F185" s="39">
        <v>2.3635185000000001</v>
      </c>
      <c r="G185" s="38">
        <v>0.22831583999999999</v>
      </c>
      <c r="H185" s="38">
        <v>0.10986902</v>
      </c>
      <c r="I185" s="38">
        <v>0.13508917000000001</v>
      </c>
      <c r="J185" s="38">
        <v>1.9437894000000001E-2</v>
      </c>
      <c r="K185" s="38">
        <v>0</v>
      </c>
      <c r="L185" s="40">
        <v>2.8562304240000005</v>
      </c>
    </row>
    <row r="186" spans="1:12" hidden="1">
      <c r="A186" s="37" t="s">
        <v>975</v>
      </c>
      <c r="B186" s="37"/>
      <c r="C186" s="37" t="s">
        <v>623</v>
      </c>
      <c r="D186" s="64">
        <v>24015</v>
      </c>
      <c r="E186" s="38">
        <v>2.14</v>
      </c>
      <c r="F186" s="39">
        <v>1.7289893000000001</v>
      </c>
      <c r="G186" s="38">
        <v>0.21655425</v>
      </c>
      <c r="H186" s="38">
        <v>0.109886</v>
      </c>
      <c r="I186" s="38">
        <v>0.1278117</v>
      </c>
      <c r="J186" s="38">
        <v>1.9437894000000001E-2</v>
      </c>
      <c r="K186" s="38">
        <v>0</v>
      </c>
      <c r="L186" s="40">
        <v>2.2026791440000002</v>
      </c>
    </row>
    <row r="187" spans="1:12" hidden="1">
      <c r="A187" s="37" t="s">
        <v>976</v>
      </c>
      <c r="B187" s="37"/>
      <c r="C187" s="37" t="s">
        <v>623</v>
      </c>
      <c r="D187" s="64">
        <v>24017</v>
      </c>
      <c r="E187" s="38">
        <v>2.42</v>
      </c>
      <c r="F187" s="39">
        <v>5.2974398000000003</v>
      </c>
      <c r="G187" s="38">
        <v>0.25035551</v>
      </c>
      <c r="H187" s="38">
        <v>0.10985896000000001</v>
      </c>
      <c r="I187" s="38">
        <v>0.17120092000000001</v>
      </c>
      <c r="J187" s="38">
        <v>1.9437894000000001E-2</v>
      </c>
      <c r="K187" s="38">
        <v>0</v>
      </c>
      <c r="L187" s="40">
        <v>5.8482930840000016</v>
      </c>
    </row>
    <row r="188" spans="1:12" hidden="1">
      <c r="A188" s="37" t="s">
        <v>977</v>
      </c>
      <c r="B188" s="37"/>
      <c r="C188" s="37" t="s">
        <v>623</v>
      </c>
      <c r="D188" s="64">
        <v>24034</v>
      </c>
      <c r="E188" s="38">
        <v>2.5299999999999998</v>
      </c>
      <c r="F188" s="39">
        <v>2.3635185000000001</v>
      </c>
      <c r="G188" s="38">
        <v>0.22831583999999999</v>
      </c>
      <c r="H188" s="38">
        <v>0.10986902</v>
      </c>
      <c r="I188" s="38">
        <v>0.13508917000000001</v>
      </c>
      <c r="J188" s="38">
        <v>1.9437894000000001E-2</v>
      </c>
      <c r="K188" s="38">
        <v>0</v>
      </c>
      <c r="L188" s="40">
        <v>2.8562304240000005</v>
      </c>
    </row>
    <row r="189" spans="1:12" hidden="1">
      <c r="A189" s="37" t="s">
        <v>978</v>
      </c>
      <c r="B189" s="37"/>
      <c r="C189" s="37" t="s">
        <v>623</v>
      </c>
      <c r="D189" s="64">
        <v>24035</v>
      </c>
      <c r="E189" s="38">
        <v>2.5299999999999998</v>
      </c>
      <c r="F189" s="39">
        <v>2.3635185000000001</v>
      </c>
      <c r="G189" s="38">
        <v>0.22831583999999999</v>
      </c>
      <c r="H189" s="38">
        <v>0.10986902</v>
      </c>
      <c r="I189" s="38">
        <v>0.13508917000000001</v>
      </c>
      <c r="J189" s="38">
        <v>1.9437894000000001E-2</v>
      </c>
      <c r="K189" s="38">
        <v>0</v>
      </c>
      <c r="L189" s="40">
        <v>2.8562304240000005</v>
      </c>
    </row>
    <row r="190" spans="1:12" hidden="1">
      <c r="A190" s="37" t="s">
        <v>979</v>
      </c>
      <c r="B190" s="37"/>
      <c r="C190" s="37" t="s">
        <v>623</v>
      </c>
      <c r="D190" s="64">
        <v>24040</v>
      </c>
      <c r="E190" s="38">
        <v>2.42</v>
      </c>
      <c r="F190" s="39">
        <v>5.2974398000000003</v>
      </c>
      <c r="G190" s="38">
        <v>0.25035551</v>
      </c>
      <c r="H190" s="38">
        <v>0.10985896000000001</v>
      </c>
      <c r="I190" s="38">
        <v>0.17120092000000001</v>
      </c>
      <c r="J190" s="38">
        <v>1.9437894000000001E-2</v>
      </c>
      <c r="K190" s="38">
        <v>0</v>
      </c>
      <c r="L190" s="40">
        <v>5.8482930840000016</v>
      </c>
    </row>
    <row r="191" spans="1:12" hidden="1">
      <c r="A191" s="37" t="s">
        <v>980</v>
      </c>
      <c r="B191" s="37"/>
      <c r="C191" s="37" t="s">
        <v>623</v>
      </c>
      <c r="D191" s="64">
        <v>24441</v>
      </c>
      <c r="E191" s="38">
        <v>2.14</v>
      </c>
      <c r="F191" s="39">
        <v>2.8953232999999998</v>
      </c>
      <c r="G191" s="38">
        <v>0.23381287000000001</v>
      </c>
      <c r="H191" s="38">
        <v>0.10983067000000001</v>
      </c>
      <c r="I191" s="38">
        <v>0.14152864000000001</v>
      </c>
      <c r="J191" s="38">
        <v>1.9437894000000001E-2</v>
      </c>
      <c r="K191" s="38">
        <v>0</v>
      </c>
      <c r="L191" s="40">
        <v>3.3999333740000002</v>
      </c>
    </row>
    <row r="192" spans="1:12" hidden="1">
      <c r="A192" s="37" t="s">
        <v>981</v>
      </c>
      <c r="B192" s="37"/>
      <c r="C192" s="37" t="s">
        <v>623</v>
      </c>
      <c r="D192" s="64">
        <v>24616</v>
      </c>
      <c r="E192" s="38">
        <v>2.14</v>
      </c>
      <c r="F192" s="39">
        <v>2.5502897</v>
      </c>
      <c r="G192" s="38">
        <v>0.24911417999999999</v>
      </c>
      <c r="H192" s="38">
        <v>0.10982081</v>
      </c>
      <c r="I192" s="38">
        <v>0.14080868999999999</v>
      </c>
      <c r="J192" s="38">
        <v>1.9437894000000001E-2</v>
      </c>
      <c r="K192" s="38">
        <v>0</v>
      </c>
      <c r="L192" s="40">
        <v>3.0694712740000001</v>
      </c>
    </row>
    <row r="193" spans="1:12" hidden="1">
      <c r="A193" s="37" t="s">
        <v>982</v>
      </c>
      <c r="B193" s="37"/>
      <c r="C193" s="37" t="s">
        <v>623</v>
      </c>
      <c r="D193" s="64">
        <v>24010</v>
      </c>
      <c r="E193" s="38">
        <v>2.5299999999999998</v>
      </c>
      <c r="F193" s="39">
        <v>0.52741499000000003</v>
      </c>
      <c r="G193" s="38">
        <v>0.44014271999999999</v>
      </c>
      <c r="H193" s="38">
        <v>0.10993127</v>
      </c>
      <c r="I193" s="38">
        <v>0.12259169</v>
      </c>
      <c r="J193" s="38">
        <v>1.9437894000000001E-2</v>
      </c>
      <c r="K193" s="38">
        <v>0</v>
      </c>
      <c r="L193" s="40">
        <v>1.2195185639999999</v>
      </c>
    </row>
    <row r="194" spans="1:12" hidden="1">
      <c r="A194" s="37" t="s">
        <v>983</v>
      </c>
      <c r="B194" s="37"/>
      <c r="C194" s="37" t="s">
        <v>623</v>
      </c>
      <c r="D194" s="64">
        <v>24011</v>
      </c>
      <c r="E194" s="38">
        <v>2.92</v>
      </c>
      <c r="F194" s="39">
        <v>2.8953232999999998</v>
      </c>
      <c r="G194" s="38">
        <v>0.23381287000000001</v>
      </c>
      <c r="H194" s="38">
        <v>0.10983067000000001</v>
      </c>
      <c r="I194" s="38">
        <v>0.14152864000000001</v>
      </c>
      <c r="J194" s="38">
        <v>1.9437894000000001E-2</v>
      </c>
      <c r="K194" s="38">
        <v>0</v>
      </c>
      <c r="L194" s="40">
        <v>3.3999333740000002</v>
      </c>
    </row>
    <row r="195" spans="1:12" hidden="1">
      <c r="A195" s="37" t="s">
        <v>984</v>
      </c>
      <c r="B195" s="37"/>
      <c r="C195" s="37" t="s">
        <v>623</v>
      </c>
      <c r="D195" s="64">
        <v>24054</v>
      </c>
      <c r="E195" s="38">
        <v>2.5299999999999998</v>
      </c>
      <c r="F195" s="39">
        <v>1.7392837000000001</v>
      </c>
      <c r="G195" s="38">
        <v>0.23538554</v>
      </c>
      <c r="H195" s="38">
        <v>0.1098401</v>
      </c>
      <c r="I195" s="38">
        <v>0.16840188</v>
      </c>
      <c r="J195" s="38">
        <v>1.9437894000000001E-2</v>
      </c>
      <c r="K195" s="38">
        <v>0</v>
      </c>
      <c r="L195" s="40">
        <v>2.2723491140000007</v>
      </c>
    </row>
    <row r="196" spans="1:12" hidden="1">
      <c r="A196" s="37" t="s">
        <v>624</v>
      </c>
      <c r="B196" s="37"/>
      <c r="C196" s="37" t="s">
        <v>623</v>
      </c>
      <c r="D196" s="64">
        <v>24000</v>
      </c>
      <c r="E196" s="38">
        <v>2.14</v>
      </c>
      <c r="F196" s="39">
        <v>2.3635185000000001</v>
      </c>
      <c r="G196" s="38">
        <v>0.22831583999999999</v>
      </c>
      <c r="H196" s="38">
        <v>0.10986902</v>
      </c>
      <c r="I196" s="38">
        <v>0.13508917000000001</v>
      </c>
      <c r="J196" s="38">
        <v>1.9437894000000001E-2</v>
      </c>
      <c r="K196" s="38">
        <v>0</v>
      </c>
      <c r="L196" s="40">
        <v>2.8562304240000005</v>
      </c>
    </row>
    <row r="197" spans="1:12" hidden="1">
      <c r="A197" s="41" t="s">
        <v>985</v>
      </c>
      <c r="B197" s="41"/>
      <c r="C197" s="41" t="s">
        <v>811</v>
      </c>
      <c r="D197" s="65">
        <v>25001</v>
      </c>
      <c r="E197" s="42">
        <v>2.56</v>
      </c>
      <c r="F197" s="43">
        <v>14.623445</v>
      </c>
      <c r="G197" s="42">
        <v>0.24663342999999996</v>
      </c>
      <c r="H197" s="42">
        <v>0.18549789</v>
      </c>
      <c r="I197" s="42">
        <v>0.21397790999999999</v>
      </c>
      <c r="J197" s="42">
        <v>3.7768032999999999E-2</v>
      </c>
      <c r="K197" s="42">
        <v>9.2564276000000001E-2</v>
      </c>
      <c r="L197" s="44">
        <v>15.399886539000001</v>
      </c>
    </row>
    <row r="198" spans="1:12" hidden="1">
      <c r="A198" s="37" t="s">
        <v>986</v>
      </c>
      <c r="B198" s="37"/>
      <c r="C198" s="37" t="s">
        <v>816</v>
      </c>
      <c r="D198" s="64">
        <v>9003</v>
      </c>
      <c r="E198" s="38">
        <v>3</v>
      </c>
      <c r="F198" s="39">
        <v>0.21115707</v>
      </c>
      <c r="G198" s="38">
        <v>0</v>
      </c>
      <c r="H198" s="38">
        <v>0.11732707000000001</v>
      </c>
      <c r="I198" s="38">
        <v>5.8041967999999999E-2</v>
      </c>
      <c r="J198" s="38">
        <v>7.1090323999999996E-3</v>
      </c>
      <c r="K198" s="38">
        <v>0.13779105</v>
      </c>
      <c r="L198" s="40">
        <v>0.53142619040000005</v>
      </c>
    </row>
    <row r="199" spans="1:12" hidden="1">
      <c r="A199" s="37" t="s">
        <v>987</v>
      </c>
      <c r="B199" s="37"/>
      <c r="C199" s="37" t="s">
        <v>816</v>
      </c>
      <c r="D199" s="64">
        <v>9060</v>
      </c>
      <c r="E199" s="38">
        <v>2.7</v>
      </c>
      <c r="F199" s="39">
        <v>0.73765150999999995</v>
      </c>
      <c r="G199" s="38">
        <v>0</v>
      </c>
      <c r="H199" s="38">
        <v>0.26506589000000003</v>
      </c>
      <c r="I199" s="38">
        <v>0.13112868999999999</v>
      </c>
      <c r="J199" s="38">
        <v>1.606076E-2</v>
      </c>
      <c r="K199" s="38">
        <v>0</v>
      </c>
      <c r="L199" s="40">
        <v>1.1499068499999998</v>
      </c>
    </row>
    <row r="200" spans="1:12" hidden="1">
      <c r="A200" s="37" t="s">
        <v>988</v>
      </c>
      <c r="B200" s="37"/>
      <c r="C200" s="37" t="s">
        <v>811</v>
      </c>
      <c r="D200" s="64">
        <v>9082</v>
      </c>
      <c r="E200" s="38">
        <v>3.38</v>
      </c>
      <c r="F200" s="39">
        <v>0.32650936000000003</v>
      </c>
      <c r="G200" s="38">
        <v>0</v>
      </c>
      <c r="H200" s="38">
        <v>8.0555266E-2</v>
      </c>
      <c r="I200" s="38">
        <v>5.8041967999999999E-2</v>
      </c>
      <c r="J200" s="38">
        <v>7.1088536999999999E-3</v>
      </c>
      <c r="K200" s="38">
        <v>1.1022624E-2</v>
      </c>
      <c r="L200" s="40">
        <v>0.48323807169999999</v>
      </c>
    </row>
    <row r="201" spans="1:12" hidden="1">
      <c r="A201" s="41" t="s">
        <v>989</v>
      </c>
      <c r="B201" s="41"/>
      <c r="C201" s="41" t="s">
        <v>816</v>
      </c>
      <c r="D201" s="65">
        <v>9080</v>
      </c>
      <c r="E201" s="42">
        <v>3.31</v>
      </c>
      <c r="F201" s="43">
        <v>0.73765150999999995</v>
      </c>
      <c r="G201" s="42">
        <v>0</v>
      </c>
      <c r="H201" s="42">
        <v>0.26506589000000003</v>
      </c>
      <c r="I201" s="42">
        <v>0.13112868999999999</v>
      </c>
      <c r="J201" s="42">
        <v>1.606076E-2</v>
      </c>
      <c r="K201" s="42">
        <v>0</v>
      </c>
      <c r="L201" s="44">
        <v>1.1499068499999998</v>
      </c>
    </row>
    <row r="202" spans="1:12" hidden="1">
      <c r="A202" s="37" t="s">
        <v>990</v>
      </c>
      <c r="B202" s="37"/>
      <c r="C202" s="37" t="s">
        <v>811</v>
      </c>
      <c r="D202" s="64">
        <v>9083</v>
      </c>
      <c r="E202" s="38">
        <v>3.38</v>
      </c>
      <c r="F202" s="39">
        <v>0.33076745000000002</v>
      </c>
      <c r="G202" s="38">
        <v>4.5642219E-4</v>
      </c>
      <c r="H202" s="38">
        <v>8.0592053999999996E-2</v>
      </c>
      <c r="I202" s="38">
        <v>5.8309633999999999E-2</v>
      </c>
      <c r="J202" s="38">
        <v>7.1088536999999999E-3</v>
      </c>
      <c r="K202" s="38">
        <v>6.9123774000000001E-3</v>
      </c>
      <c r="L202" s="40">
        <v>0.48414679129000004</v>
      </c>
    </row>
    <row r="203" spans="1:12" hidden="1">
      <c r="A203" s="37" t="s">
        <v>991</v>
      </c>
      <c r="B203" s="37"/>
      <c r="C203" s="37" t="s">
        <v>816</v>
      </c>
      <c r="D203" s="64">
        <v>9081</v>
      </c>
      <c r="E203" s="38">
        <v>3.31</v>
      </c>
      <c r="F203" s="39">
        <v>0.32650936000000003</v>
      </c>
      <c r="G203" s="38">
        <v>0</v>
      </c>
      <c r="H203" s="38">
        <v>8.0555266E-2</v>
      </c>
      <c r="I203" s="38">
        <v>5.8041967999999999E-2</v>
      </c>
      <c r="J203" s="38">
        <v>7.1090323999999996E-3</v>
      </c>
      <c r="K203" s="38">
        <v>0.13779105</v>
      </c>
      <c r="L203" s="40">
        <v>0.61000667640000006</v>
      </c>
    </row>
    <row r="204" spans="1:12" hidden="1">
      <c r="A204" s="41" t="s">
        <v>992</v>
      </c>
      <c r="B204" s="41"/>
      <c r="C204" s="41" t="s">
        <v>816</v>
      </c>
      <c r="D204" s="65">
        <v>9010</v>
      </c>
      <c r="E204" s="42">
        <v>3</v>
      </c>
      <c r="F204" s="43">
        <v>0.47704706000000002</v>
      </c>
      <c r="G204" s="42">
        <v>0</v>
      </c>
      <c r="H204" s="42">
        <v>0.26506589000000003</v>
      </c>
      <c r="I204" s="42">
        <v>0.13112868999999999</v>
      </c>
      <c r="J204" s="42">
        <v>1.606076E-2</v>
      </c>
      <c r="K204" s="42">
        <v>0</v>
      </c>
      <c r="L204" s="44">
        <v>0.88930240000000005</v>
      </c>
    </row>
    <row r="205" spans="1:12" hidden="1">
      <c r="A205" s="37" t="s">
        <v>993</v>
      </c>
      <c r="B205" s="37"/>
      <c r="C205" s="37" t="s">
        <v>640</v>
      </c>
      <c r="D205" s="64">
        <v>12526</v>
      </c>
      <c r="E205" s="38">
        <v>2.2400000000000002</v>
      </c>
      <c r="F205" s="39">
        <v>4.7393790999999998</v>
      </c>
      <c r="G205" s="38">
        <v>0.24323362000000001</v>
      </c>
      <c r="H205" s="38">
        <v>0.26233268999999998</v>
      </c>
      <c r="I205" s="38">
        <v>0.21100323000000001</v>
      </c>
      <c r="J205" s="38">
        <v>3.5969872999999999E-2</v>
      </c>
      <c r="K205" s="38">
        <v>6.6736979E-3</v>
      </c>
      <c r="L205" s="40">
        <v>5.4985922109000001</v>
      </c>
    </row>
    <row r="206" spans="1:12" hidden="1">
      <c r="A206" s="37" t="s">
        <v>994</v>
      </c>
      <c r="B206" s="37"/>
      <c r="C206" s="37" t="s">
        <v>861</v>
      </c>
      <c r="D206" s="64">
        <v>23805</v>
      </c>
      <c r="E206" s="38">
        <v>2.67</v>
      </c>
      <c r="F206" s="39">
        <v>1.1605932999999999</v>
      </c>
      <c r="G206" s="38">
        <v>0.17489545000000001</v>
      </c>
      <c r="H206" s="38">
        <v>0.28783459</v>
      </c>
      <c r="I206" s="38">
        <v>0.12640936</v>
      </c>
      <c r="J206" s="38">
        <v>4.7861880000000002E-3</v>
      </c>
      <c r="K206" s="38">
        <v>0</v>
      </c>
      <c r="L206" s="40">
        <v>1.7545188879999998</v>
      </c>
    </row>
    <row r="207" spans="1:12" hidden="1">
      <c r="A207" s="37" t="s">
        <v>995</v>
      </c>
      <c r="B207" s="37"/>
      <c r="C207" s="37" t="s">
        <v>811</v>
      </c>
      <c r="D207" s="64">
        <v>25065</v>
      </c>
      <c r="E207" s="38">
        <v>2.54</v>
      </c>
      <c r="F207" s="39">
        <v>20.621081</v>
      </c>
      <c r="G207" s="38">
        <v>0.2420013</v>
      </c>
      <c r="H207" s="38">
        <v>0.18549789</v>
      </c>
      <c r="I207" s="38">
        <v>0.2174181</v>
      </c>
      <c r="J207" s="38">
        <v>3.7768032999999999E-2</v>
      </c>
      <c r="K207" s="38">
        <v>1.7696322E-2</v>
      </c>
      <c r="L207" s="40">
        <v>21.321462644999997</v>
      </c>
    </row>
    <row r="208" spans="1:12" hidden="1">
      <c r="A208" s="37" t="s">
        <v>996</v>
      </c>
      <c r="B208" s="37"/>
      <c r="C208" s="37" t="s">
        <v>811</v>
      </c>
      <c r="D208" s="64">
        <v>25033</v>
      </c>
      <c r="E208" s="38">
        <v>2.54</v>
      </c>
      <c r="F208" s="39">
        <v>22.553079</v>
      </c>
      <c r="G208" s="38">
        <v>0.24958130000000001</v>
      </c>
      <c r="H208" s="38">
        <v>0.18549789</v>
      </c>
      <c r="I208" s="38">
        <v>0.21604678999999999</v>
      </c>
      <c r="J208" s="38">
        <v>3.7768032999999999E-2</v>
      </c>
      <c r="K208" s="38">
        <v>1.7696322E-2</v>
      </c>
      <c r="L208" s="40">
        <v>23.259669334999998</v>
      </c>
    </row>
    <row r="209" spans="1:12" hidden="1">
      <c r="A209" s="37" t="s">
        <v>997</v>
      </c>
      <c r="B209" s="37"/>
      <c r="C209" s="37" t="s">
        <v>788</v>
      </c>
      <c r="D209" s="64">
        <v>6231</v>
      </c>
      <c r="E209" s="38">
        <v>2.29</v>
      </c>
      <c r="F209" s="39">
        <v>26.475932</v>
      </c>
      <c r="G209" s="38">
        <v>0.11538326</v>
      </c>
      <c r="H209" s="38">
        <v>0.27530876999999998</v>
      </c>
      <c r="I209" s="38">
        <v>0.20299513</v>
      </c>
      <c r="J209" s="38">
        <v>3.7353873000000003E-2</v>
      </c>
      <c r="K209" s="38">
        <v>6.6736979E-3</v>
      </c>
      <c r="L209" s="40">
        <v>27.113646730900001</v>
      </c>
    </row>
    <row r="210" spans="1:12" hidden="1">
      <c r="A210" s="37" t="s">
        <v>998</v>
      </c>
      <c r="B210" s="37"/>
      <c r="C210" s="37" t="s">
        <v>786</v>
      </c>
      <c r="D210" s="64">
        <v>6230</v>
      </c>
      <c r="E210" s="38">
        <v>2.31</v>
      </c>
      <c r="F210" s="39">
        <v>33.445903000000001</v>
      </c>
      <c r="G210" s="38">
        <v>0.14575869999999999</v>
      </c>
      <c r="H210" s="38">
        <v>0.34778568999999998</v>
      </c>
      <c r="I210" s="38">
        <v>0.25643500000000002</v>
      </c>
      <c r="J210" s="38">
        <v>4.7187537000000002E-2</v>
      </c>
      <c r="K210" s="38">
        <v>9.4321172999999994E-2</v>
      </c>
      <c r="L210" s="40">
        <v>34.337391100000005</v>
      </c>
    </row>
    <row r="211" spans="1:12" hidden="1">
      <c r="A211" s="37" t="s">
        <v>999</v>
      </c>
      <c r="B211" s="37"/>
      <c r="C211" s="37" t="s">
        <v>788</v>
      </c>
      <c r="D211" s="64">
        <v>6212</v>
      </c>
      <c r="E211" s="38">
        <v>2.29</v>
      </c>
      <c r="F211" s="39">
        <v>26.475932</v>
      </c>
      <c r="G211" s="38">
        <v>0.11538326</v>
      </c>
      <c r="H211" s="38">
        <v>0.27530876999999998</v>
      </c>
      <c r="I211" s="38">
        <v>0.20299513</v>
      </c>
      <c r="J211" s="38">
        <v>3.7353873000000003E-2</v>
      </c>
      <c r="K211" s="38">
        <v>6.6736979E-3</v>
      </c>
      <c r="L211" s="40">
        <v>27.113646730900001</v>
      </c>
    </row>
    <row r="212" spans="1:12" hidden="1">
      <c r="A212" s="37" t="s">
        <v>1000</v>
      </c>
      <c r="B212" s="37"/>
      <c r="C212" s="37" t="s">
        <v>786</v>
      </c>
      <c r="D212" s="64">
        <v>6211</v>
      </c>
      <c r="E212" s="38">
        <v>2.31</v>
      </c>
      <c r="F212" s="39">
        <v>33.458080000000002</v>
      </c>
      <c r="G212" s="38">
        <v>0.14706394</v>
      </c>
      <c r="H212" s="38">
        <v>0.34762968999999999</v>
      </c>
      <c r="I212" s="38">
        <v>0.25720045000000002</v>
      </c>
      <c r="J212" s="38">
        <v>4.7187537000000002E-2</v>
      </c>
      <c r="K212" s="38">
        <v>0.11950048000000001</v>
      </c>
      <c r="L212" s="40">
        <v>34.376662097000001</v>
      </c>
    </row>
    <row r="213" spans="1:12" hidden="1">
      <c r="A213" s="37" t="s">
        <v>1001</v>
      </c>
      <c r="B213" s="37"/>
      <c r="C213" s="37" t="s">
        <v>788</v>
      </c>
      <c r="D213" s="64">
        <v>6202</v>
      </c>
      <c r="E213" s="38">
        <v>2.29</v>
      </c>
      <c r="F213" s="39">
        <v>26.475932</v>
      </c>
      <c r="G213" s="38">
        <v>0.11538326</v>
      </c>
      <c r="H213" s="38">
        <v>0.29738893999999999</v>
      </c>
      <c r="I213" s="38">
        <v>0.20303224</v>
      </c>
      <c r="J213" s="38">
        <v>3.7353873000000003E-2</v>
      </c>
      <c r="K213" s="38">
        <v>8.3421224000000006E-3</v>
      </c>
      <c r="L213" s="40">
        <v>27.137432435400001</v>
      </c>
    </row>
    <row r="214" spans="1:12" hidden="1">
      <c r="A214" s="37" t="s">
        <v>1002</v>
      </c>
      <c r="B214" s="37"/>
      <c r="C214" s="37" t="s">
        <v>786</v>
      </c>
      <c r="D214" s="64">
        <v>6208</v>
      </c>
      <c r="E214" s="38">
        <v>2.31</v>
      </c>
      <c r="F214" s="39">
        <v>33.458080000000002</v>
      </c>
      <c r="G214" s="38">
        <v>0.14706394</v>
      </c>
      <c r="H214" s="38">
        <v>0.37571677999999997</v>
      </c>
      <c r="I214" s="38">
        <v>0.25724732</v>
      </c>
      <c r="J214" s="38">
        <v>4.7187537000000002E-2</v>
      </c>
      <c r="K214" s="38">
        <v>0.12160427</v>
      </c>
      <c r="L214" s="40">
        <v>34.406899846999998</v>
      </c>
    </row>
    <row r="215" spans="1:12" hidden="1">
      <c r="A215" s="37" t="s">
        <v>1003</v>
      </c>
      <c r="B215" s="37"/>
      <c r="C215" s="37" t="s">
        <v>786</v>
      </c>
      <c r="D215" s="64">
        <v>6214</v>
      </c>
      <c r="E215" s="38">
        <v>2.31</v>
      </c>
      <c r="F215" s="39">
        <v>33.445903000000001</v>
      </c>
      <c r="G215" s="38">
        <v>0.14575869999999999</v>
      </c>
      <c r="H215" s="38">
        <v>0.37567862000000002</v>
      </c>
      <c r="I215" s="38">
        <v>0.25648187</v>
      </c>
      <c r="J215" s="38">
        <v>4.7187537000000002E-2</v>
      </c>
      <c r="K215" s="38">
        <v>9.6428821999999997E-2</v>
      </c>
      <c r="L215" s="40">
        <v>34.367438549000006</v>
      </c>
    </row>
    <row r="216" spans="1:12" hidden="1">
      <c r="A216" s="37" t="s">
        <v>1004</v>
      </c>
      <c r="B216" s="37"/>
      <c r="C216" s="37" t="s">
        <v>1005</v>
      </c>
      <c r="D216" s="64">
        <v>25163</v>
      </c>
      <c r="E216" s="38">
        <v>2.2599999999999998</v>
      </c>
      <c r="F216" s="39">
        <v>28.92306</v>
      </c>
      <c r="G216" s="38">
        <v>0.41291898999999999</v>
      </c>
      <c r="H216" s="38">
        <v>0.34778568999999998</v>
      </c>
      <c r="I216" s="38">
        <v>0.26990002000000002</v>
      </c>
      <c r="J216" s="38">
        <v>4.7187537000000002E-2</v>
      </c>
      <c r="K216" s="38">
        <v>9.4321172999999994E-2</v>
      </c>
      <c r="L216" s="40">
        <v>30.095173410000001</v>
      </c>
    </row>
    <row r="217" spans="1:12" hidden="1">
      <c r="A217" s="37" t="s">
        <v>1006</v>
      </c>
      <c r="B217" s="37"/>
      <c r="C217" s="37" t="s">
        <v>786</v>
      </c>
      <c r="D217" s="64">
        <v>6101</v>
      </c>
      <c r="E217" s="38">
        <v>2.31</v>
      </c>
      <c r="F217" s="39">
        <v>33.445903000000001</v>
      </c>
      <c r="G217" s="38">
        <v>0.14575869999999999</v>
      </c>
      <c r="H217" s="38">
        <v>0.34778568999999998</v>
      </c>
      <c r="I217" s="38">
        <v>0.25643500000000002</v>
      </c>
      <c r="J217" s="38">
        <v>4.7187537000000002E-2</v>
      </c>
      <c r="K217" s="38">
        <v>9.4321172999999994E-2</v>
      </c>
      <c r="L217" s="40">
        <v>34.337391100000005</v>
      </c>
    </row>
    <row r="218" spans="1:12" hidden="1">
      <c r="A218" s="37" t="s">
        <v>1007</v>
      </c>
      <c r="B218" s="37"/>
      <c r="C218" s="37" t="s">
        <v>786</v>
      </c>
      <c r="D218" s="64">
        <v>6241</v>
      </c>
      <c r="E218" s="38">
        <v>2.31</v>
      </c>
      <c r="F218" s="39">
        <v>41.807378999999997</v>
      </c>
      <c r="G218" s="38">
        <v>0.18219837999999999</v>
      </c>
      <c r="H218" s="38">
        <v>0.43473212</v>
      </c>
      <c r="I218" s="38">
        <v>0.32054375000000002</v>
      </c>
      <c r="J218" s="38">
        <v>5.8984421000000002E-2</v>
      </c>
      <c r="K218" s="38">
        <v>0.19793284</v>
      </c>
      <c r="L218" s="40">
        <v>43.001770510999997</v>
      </c>
    </row>
    <row r="219" spans="1:12" hidden="1">
      <c r="A219" s="37" t="s">
        <v>1008</v>
      </c>
      <c r="B219" s="37"/>
      <c r="C219" s="37" t="s">
        <v>788</v>
      </c>
      <c r="D219" s="64">
        <v>6001</v>
      </c>
      <c r="E219" s="38">
        <v>2.0299999999999998</v>
      </c>
      <c r="F219" s="39">
        <v>26.475932</v>
      </c>
      <c r="G219" s="38">
        <v>6.5957829999999995E-2</v>
      </c>
      <c r="H219" s="38">
        <v>0.34413596000000002</v>
      </c>
      <c r="I219" s="38">
        <v>0.25018559000000001</v>
      </c>
      <c r="J219" s="38">
        <v>4.6692341999999998E-2</v>
      </c>
      <c r="K219" s="38">
        <v>8.8693171000000001E-2</v>
      </c>
      <c r="L219" s="40">
        <v>27.271596892999998</v>
      </c>
    </row>
    <row r="220" spans="1:12" hidden="1">
      <c r="A220" s="37" t="s">
        <v>1009</v>
      </c>
      <c r="B220" s="37"/>
      <c r="C220" s="37" t="s">
        <v>788</v>
      </c>
      <c r="D220" s="64">
        <v>6103</v>
      </c>
      <c r="E220" s="38">
        <v>2.0299999999999998</v>
      </c>
      <c r="F220" s="39">
        <v>26.475932</v>
      </c>
      <c r="G220" s="38">
        <v>6.5957829999999995E-2</v>
      </c>
      <c r="H220" s="38">
        <v>0.34413596000000002</v>
      </c>
      <c r="I220" s="38">
        <v>0.25018559000000001</v>
      </c>
      <c r="J220" s="38">
        <v>4.6692341999999998E-2</v>
      </c>
      <c r="K220" s="38">
        <v>8.8693171000000001E-2</v>
      </c>
      <c r="L220" s="40">
        <v>27.271596892999998</v>
      </c>
    </row>
    <row r="221" spans="1:12" hidden="1">
      <c r="A221" s="37" t="s">
        <v>1010</v>
      </c>
      <c r="B221" s="37"/>
      <c r="C221" s="37" t="s">
        <v>786</v>
      </c>
      <c r="D221" s="64">
        <v>6100</v>
      </c>
      <c r="E221" s="38">
        <v>2.06</v>
      </c>
      <c r="F221" s="39">
        <v>33.458080000000002</v>
      </c>
      <c r="G221" s="38">
        <v>8.4626926000000005E-2</v>
      </c>
      <c r="H221" s="38">
        <v>0.43477028000000001</v>
      </c>
      <c r="I221" s="38">
        <v>0.31681410999999998</v>
      </c>
      <c r="J221" s="38">
        <v>5.8984421000000002E-2</v>
      </c>
      <c r="K221" s="38">
        <v>0.22313612999999999</v>
      </c>
      <c r="L221" s="40">
        <v>34.576411867000004</v>
      </c>
    </row>
    <row r="222" spans="1:12" hidden="1">
      <c r="A222" s="37" t="s">
        <v>1011</v>
      </c>
      <c r="B222" s="37"/>
      <c r="C222" s="37" t="s">
        <v>788</v>
      </c>
      <c r="D222" s="64">
        <v>6002</v>
      </c>
      <c r="E222" s="38">
        <v>2.29</v>
      </c>
      <c r="F222" s="39">
        <v>26.475932</v>
      </c>
      <c r="G222" s="38">
        <v>0.11538326</v>
      </c>
      <c r="H222" s="38">
        <v>0.27530876999999998</v>
      </c>
      <c r="I222" s="38">
        <v>0.20299513</v>
      </c>
      <c r="J222" s="38">
        <v>3.7353873000000003E-2</v>
      </c>
      <c r="K222" s="38">
        <v>6.6736979E-3</v>
      </c>
      <c r="L222" s="40">
        <v>27.113646730900001</v>
      </c>
    </row>
    <row r="223" spans="1:12" hidden="1">
      <c r="A223" s="37" t="s">
        <v>1012</v>
      </c>
      <c r="B223" s="37"/>
      <c r="C223" s="37" t="s">
        <v>788</v>
      </c>
      <c r="D223" s="64">
        <v>6111</v>
      </c>
      <c r="E223" s="38">
        <v>2.29</v>
      </c>
      <c r="F223" s="39">
        <v>26.475932</v>
      </c>
      <c r="G223" s="38">
        <v>0.11538326</v>
      </c>
      <c r="H223" s="38">
        <v>0.27530876999999998</v>
      </c>
      <c r="I223" s="38">
        <v>0.20299513</v>
      </c>
      <c r="J223" s="38">
        <v>3.7353873000000003E-2</v>
      </c>
      <c r="K223" s="38">
        <v>6.6736979E-3</v>
      </c>
      <c r="L223" s="40">
        <v>27.113646730900001</v>
      </c>
    </row>
    <row r="224" spans="1:12" hidden="1">
      <c r="A224" s="37" t="s">
        <v>1013</v>
      </c>
      <c r="B224" s="37"/>
      <c r="C224" s="37" t="s">
        <v>786</v>
      </c>
      <c r="D224" s="64">
        <v>6110</v>
      </c>
      <c r="E224" s="38">
        <v>2.31</v>
      </c>
      <c r="F224" s="39">
        <v>33.458080000000002</v>
      </c>
      <c r="G224" s="38">
        <v>0.14706394</v>
      </c>
      <c r="H224" s="38">
        <v>0.34762968999999999</v>
      </c>
      <c r="I224" s="38">
        <v>0.25720045000000002</v>
      </c>
      <c r="J224" s="38">
        <v>4.7187537000000002E-2</v>
      </c>
      <c r="K224" s="38">
        <v>0.11950048000000001</v>
      </c>
      <c r="L224" s="40">
        <v>34.376662097000001</v>
      </c>
    </row>
    <row r="225" spans="1:12" hidden="1">
      <c r="A225" s="37" t="s">
        <v>1014</v>
      </c>
      <c r="B225" s="37"/>
      <c r="C225" s="37" t="s">
        <v>788</v>
      </c>
      <c r="D225" s="64">
        <v>6112</v>
      </c>
      <c r="E225" s="38">
        <v>2.29</v>
      </c>
      <c r="F225" s="39">
        <v>26.475932</v>
      </c>
      <c r="G225" s="38">
        <v>0.11538326</v>
      </c>
      <c r="H225" s="38">
        <v>0.27530876999999998</v>
      </c>
      <c r="I225" s="38">
        <v>0.20299513</v>
      </c>
      <c r="J225" s="38">
        <v>3.7353873000000003E-2</v>
      </c>
      <c r="K225" s="38">
        <v>6.6736979E-3</v>
      </c>
      <c r="L225" s="40">
        <v>27.113646730900001</v>
      </c>
    </row>
    <row r="226" spans="1:12" hidden="1">
      <c r="A226" s="37" t="s">
        <v>1015</v>
      </c>
      <c r="B226" s="37"/>
      <c r="C226" s="37" t="s">
        <v>786</v>
      </c>
      <c r="D226" s="64">
        <v>6105</v>
      </c>
      <c r="E226" s="38">
        <v>2.31</v>
      </c>
      <c r="F226" s="39">
        <v>33.445903000000001</v>
      </c>
      <c r="G226" s="38">
        <v>0.14575869999999999</v>
      </c>
      <c r="H226" s="38">
        <v>0.34778568999999998</v>
      </c>
      <c r="I226" s="38">
        <v>0.25643500000000002</v>
      </c>
      <c r="J226" s="38">
        <v>4.7187537000000002E-2</v>
      </c>
      <c r="K226" s="38">
        <v>9.4321172999999994E-2</v>
      </c>
      <c r="L226" s="40">
        <v>34.337391100000005</v>
      </c>
    </row>
    <row r="227" spans="1:12" hidden="1">
      <c r="A227" s="37" t="s">
        <v>1016</v>
      </c>
      <c r="B227" s="37"/>
      <c r="C227" s="37" t="s">
        <v>788</v>
      </c>
      <c r="D227" s="64">
        <v>6102</v>
      </c>
      <c r="E227" s="38">
        <v>2.29</v>
      </c>
      <c r="F227" s="39">
        <v>26.475932</v>
      </c>
      <c r="G227" s="38">
        <v>0.11538326</v>
      </c>
      <c r="H227" s="38">
        <v>0.27530876999999998</v>
      </c>
      <c r="I227" s="38">
        <v>0.20299513</v>
      </c>
      <c r="J227" s="38">
        <v>3.7353873000000003E-2</v>
      </c>
      <c r="K227" s="38">
        <v>6.6736979E-3</v>
      </c>
      <c r="L227" s="40">
        <v>27.113646730900001</v>
      </c>
    </row>
    <row r="228" spans="1:12" hidden="1">
      <c r="A228" s="37" t="s">
        <v>1017</v>
      </c>
      <c r="B228" s="37"/>
      <c r="C228" s="37" t="s">
        <v>786</v>
      </c>
      <c r="D228" s="64">
        <v>6104</v>
      </c>
      <c r="E228" s="38">
        <v>2.31</v>
      </c>
      <c r="F228" s="39">
        <v>33.445903000000001</v>
      </c>
      <c r="G228" s="38">
        <v>0.14575869999999999</v>
      </c>
      <c r="H228" s="38">
        <v>0.34778568999999998</v>
      </c>
      <c r="I228" s="38">
        <v>0.25643500000000002</v>
      </c>
      <c r="J228" s="38">
        <v>4.7187537000000002E-2</v>
      </c>
      <c r="K228" s="38">
        <v>9.4321172999999994E-2</v>
      </c>
      <c r="L228" s="40">
        <v>34.337391100000005</v>
      </c>
    </row>
    <row r="229" spans="1:12" hidden="1">
      <c r="A229" s="37" t="s">
        <v>1018</v>
      </c>
      <c r="B229" s="37"/>
      <c r="C229" s="37" t="s">
        <v>788</v>
      </c>
      <c r="D229" s="64">
        <v>6130</v>
      </c>
      <c r="E229" s="38">
        <v>2.29</v>
      </c>
      <c r="F229" s="39">
        <v>26.475932</v>
      </c>
      <c r="G229" s="38">
        <v>0.11538326</v>
      </c>
      <c r="H229" s="38">
        <v>0.27530876999999998</v>
      </c>
      <c r="I229" s="38">
        <v>0.20299513</v>
      </c>
      <c r="J229" s="38">
        <v>3.7353873000000003E-2</v>
      </c>
      <c r="K229" s="38">
        <v>6.6736979E-3</v>
      </c>
      <c r="L229" s="40">
        <v>27.113646730900001</v>
      </c>
    </row>
    <row r="230" spans="1:12" hidden="1">
      <c r="A230" s="37" t="s">
        <v>1019</v>
      </c>
      <c r="B230" s="37"/>
      <c r="C230" s="37" t="s">
        <v>786</v>
      </c>
      <c r="D230" s="64">
        <v>6131</v>
      </c>
      <c r="E230" s="38">
        <v>2.31</v>
      </c>
      <c r="F230" s="39">
        <v>33.458080000000002</v>
      </c>
      <c r="G230" s="38">
        <v>0.14706394</v>
      </c>
      <c r="H230" s="38">
        <v>0.34762968999999999</v>
      </c>
      <c r="I230" s="38">
        <v>0.25720045000000002</v>
      </c>
      <c r="J230" s="38">
        <v>4.7187537000000002E-2</v>
      </c>
      <c r="K230" s="38">
        <v>0.11950048000000001</v>
      </c>
      <c r="L230" s="40">
        <v>34.376662097000001</v>
      </c>
    </row>
    <row r="231" spans="1:12" hidden="1">
      <c r="A231" s="37" t="s">
        <v>1020</v>
      </c>
      <c r="B231" s="37"/>
      <c r="C231" s="37" t="s">
        <v>786</v>
      </c>
      <c r="D231" s="64">
        <v>6151</v>
      </c>
      <c r="E231" s="38">
        <v>2.06</v>
      </c>
      <c r="F231" s="39">
        <v>33.445903000000001</v>
      </c>
      <c r="G231" s="38">
        <v>8.3321681999999994E-2</v>
      </c>
      <c r="H231" s="38">
        <v>0.43473212</v>
      </c>
      <c r="I231" s="38">
        <v>0.31604865999999998</v>
      </c>
      <c r="J231" s="38">
        <v>5.8984421000000002E-2</v>
      </c>
      <c r="K231" s="38">
        <v>0.34380885999999999</v>
      </c>
      <c r="L231" s="40">
        <v>34.682798742999999</v>
      </c>
    </row>
    <row r="232" spans="1:12" hidden="1">
      <c r="A232" s="37" t="s">
        <v>1021</v>
      </c>
      <c r="B232" s="37"/>
      <c r="C232" s="37" t="s">
        <v>788</v>
      </c>
      <c r="D232" s="64">
        <v>6150</v>
      </c>
      <c r="E232" s="38">
        <v>2.0299999999999998</v>
      </c>
      <c r="F232" s="39">
        <v>26.475932</v>
      </c>
      <c r="G232" s="38">
        <v>6.5957829999999995E-2</v>
      </c>
      <c r="H232" s="38">
        <v>0.34413596000000002</v>
      </c>
      <c r="I232" s="38">
        <v>0.25018559000000001</v>
      </c>
      <c r="J232" s="38">
        <v>4.6692341999999998E-2</v>
      </c>
      <c r="K232" s="38">
        <v>8.8693171000000001E-2</v>
      </c>
      <c r="L232" s="40">
        <v>27.271596892999998</v>
      </c>
    </row>
    <row r="233" spans="1:12" hidden="1">
      <c r="A233" s="37" t="s">
        <v>1022</v>
      </c>
      <c r="B233" s="37"/>
      <c r="C233" s="37" t="s">
        <v>786</v>
      </c>
      <c r="D233" s="64">
        <v>6141</v>
      </c>
      <c r="E233" s="38">
        <v>2.06</v>
      </c>
      <c r="F233" s="39">
        <v>26.756723000000001</v>
      </c>
      <c r="G233" s="38">
        <v>6.6657346000000006E-2</v>
      </c>
      <c r="H233" s="38">
        <v>0.34778568999999998</v>
      </c>
      <c r="I233" s="38">
        <v>0.25283893000000002</v>
      </c>
      <c r="J233" s="38">
        <v>4.7187537000000002E-2</v>
      </c>
      <c r="K233" s="38">
        <v>0.20346818</v>
      </c>
      <c r="L233" s="40">
        <v>27.674660682999999</v>
      </c>
    </row>
    <row r="234" spans="1:12" hidden="1">
      <c r="A234" s="37" t="s">
        <v>1023</v>
      </c>
      <c r="B234" s="37"/>
      <c r="C234" s="37" t="s">
        <v>788</v>
      </c>
      <c r="D234" s="64">
        <v>6140</v>
      </c>
      <c r="E234" s="38">
        <v>2.29</v>
      </c>
      <c r="F234" s="39">
        <v>26.475932</v>
      </c>
      <c r="G234" s="38">
        <v>0.11538326</v>
      </c>
      <c r="H234" s="38">
        <v>0.27530876999999998</v>
      </c>
      <c r="I234" s="38">
        <v>0.20299513</v>
      </c>
      <c r="J234" s="38">
        <v>3.7353873000000003E-2</v>
      </c>
      <c r="K234" s="38">
        <v>6.6736979E-3</v>
      </c>
      <c r="L234" s="40">
        <v>27.113646730900001</v>
      </c>
    </row>
    <row r="235" spans="1:12" hidden="1">
      <c r="A235" s="37" t="s">
        <v>1024</v>
      </c>
      <c r="B235" s="37"/>
      <c r="C235" s="37" t="s">
        <v>788</v>
      </c>
      <c r="D235" s="64">
        <v>6204</v>
      </c>
      <c r="E235" s="38">
        <v>2.29</v>
      </c>
      <c r="F235" s="39">
        <v>26.475932</v>
      </c>
      <c r="G235" s="38">
        <v>0.11538326</v>
      </c>
      <c r="H235" s="38">
        <v>0.27530876999999998</v>
      </c>
      <c r="I235" s="38">
        <v>0.20299513</v>
      </c>
      <c r="J235" s="38">
        <v>3.7353873000000003E-2</v>
      </c>
      <c r="K235" s="38">
        <v>6.6736979E-3</v>
      </c>
      <c r="L235" s="40">
        <v>27.113646730900001</v>
      </c>
    </row>
    <row r="236" spans="1:12" hidden="1">
      <c r="A236" s="37" t="s">
        <v>1025</v>
      </c>
      <c r="B236" s="37"/>
      <c r="C236" s="37" t="s">
        <v>786</v>
      </c>
      <c r="D236" s="64">
        <v>6205</v>
      </c>
      <c r="E236" s="38">
        <v>2.31</v>
      </c>
      <c r="F236" s="39">
        <v>33.445903000000001</v>
      </c>
      <c r="G236" s="38">
        <v>0.14575869999999999</v>
      </c>
      <c r="H236" s="38">
        <v>0.34778568999999998</v>
      </c>
      <c r="I236" s="38">
        <v>0.25643500000000002</v>
      </c>
      <c r="J236" s="38">
        <v>4.7187537000000002E-2</v>
      </c>
      <c r="K236" s="38">
        <v>9.4321172999999994E-2</v>
      </c>
      <c r="L236" s="40">
        <v>34.337391100000005</v>
      </c>
    </row>
    <row r="237" spans="1:12" hidden="1">
      <c r="A237" s="37" t="s">
        <v>1026</v>
      </c>
      <c r="B237" s="37"/>
      <c r="C237" s="37" t="s">
        <v>786</v>
      </c>
      <c r="D237" s="64">
        <v>6271</v>
      </c>
      <c r="E237" s="38">
        <v>2.31</v>
      </c>
      <c r="F237" s="39">
        <v>41.807378999999997</v>
      </c>
      <c r="G237" s="38">
        <v>0.18219837999999999</v>
      </c>
      <c r="H237" s="38">
        <v>0.43473212</v>
      </c>
      <c r="I237" s="38">
        <v>0.32054375000000002</v>
      </c>
      <c r="J237" s="38">
        <v>5.8984421000000002E-2</v>
      </c>
      <c r="K237" s="38">
        <v>0.34380885999999999</v>
      </c>
      <c r="L237" s="40">
        <v>43.147646530999999</v>
      </c>
    </row>
    <row r="238" spans="1:12" hidden="1">
      <c r="A238" s="37" t="s">
        <v>1027</v>
      </c>
      <c r="B238" s="37"/>
      <c r="C238" s="37" t="s">
        <v>788</v>
      </c>
      <c r="D238" s="64">
        <v>6270</v>
      </c>
      <c r="E238" s="38">
        <v>2.29</v>
      </c>
      <c r="F238" s="39">
        <v>33.094915</v>
      </c>
      <c r="G238" s="38">
        <v>0.14422908000000001</v>
      </c>
      <c r="H238" s="38">
        <v>0.34413596000000002</v>
      </c>
      <c r="I238" s="38">
        <v>0.25374392000000001</v>
      </c>
      <c r="J238" s="38">
        <v>4.6692341999999998E-2</v>
      </c>
      <c r="K238" s="38">
        <v>8.8693171000000001E-2</v>
      </c>
      <c r="L238" s="40">
        <v>33.972409473000006</v>
      </c>
    </row>
    <row r="239" spans="1:12" hidden="1">
      <c r="A239" s="37" t="s">
        <v>1028</v>
      </c>
      <c r="B239" s="37"/>
      <c r="C239" s="37" t="s">
        <v>786</v>
      </c>
      <c r="D239" s="64">
        <v>6123</v>
      </c>
      <c r="E239" s="38">
        <v>2.06</v>
      </c>
      <c r="F239" s="39">
        <v>33.445903000000001</v>
      </c>
      <c r="G239" s="38">
        <v>8.3321681999999994E-2</v>
      </c>
      <c r="H239" s="38">
        <v>0.43473212</v>
      </c>
      <c r="I239" s="38">
        <v>0.31604865999999998</v>
      </c>
      <c r="J239" s="38">
        <v>5.8984421000000002E-2</v>
      </c>
      <c r="K239" s="38">
        <v>0.19793284</v>
      </c>
      <c r="L239" s="40">
        <v>34.536922722999996</v>
      </c>
    </row>
    <row r="240" spans="1:12" hidden="1">
      <c r="A240" s="37" t="s">
        <v>1029</v>
      </c>
      <c r="B240" s="37"/>
      <c r="C240" s="37" t="s">
        <v>788</v>
      </c>
      <c r="D240" s="64">
        <v>6122</v>
      </c>
      <c r="E240" s="38">
        <v>2.0299999999999998</v>
      </c>
      <c r="F240" s="39">
        <v>26.475932</v>
      </c>
      <c r="G240" s="38">
        <v>6.5957829999999995E-2</v>
      </c>
      <c r="H240" s="38">
        <v>0.34413596000000002</v>
      </c>
      <c r="I240" s="38">
        <v>0.25018559000000001</v>
      </c>
      <c r="J240" s="38">
        <v>4.6692341999999998E-2</v>
      </c>
      <c r="K240" s="38">
        <v>8.8693171000000001E-2</v>
      </c>
      <c r="L240" s="40">
        <v>27.271596892999998</v>
      </c>
    </row>
    <row r="241" spans="1:12" hidden="1">
      <c r="A241" s="37" t="s">
        <v>1030</v>
      </c>
      <c r="B241" s="37"/>
      <c r="C241" s="37" t="s">
        <v>786</v>
      </c>
      <c r="D241" s="64">
        <v>6310</v>
      </c>
      <c r="E241" s="38">
        <v>2.06</v>
      </c>
      <c r="F241" s="39">
        <v>33.445903000000001</v>
      </c>
      <c r="G241" s="38">
        <v>8.3321681999999994E-2</v>
      </c>
      <c r="H241" s="38">
        <v>0.43473212</v>
      </c>
      <c r="I241" s="38">
        <v>0.31604865999999998</v>
      </c>
      <c r="J241" s="38">
        <v>5.8984421000000002E-2</v>
      </c>
      <c r="K241" s="38">
        <v>0.34380885999999999</v>
      </c>
      <c r="L241" s="40">
        <v>34.682798742999999</v>
      </c>
    </row>
    <row r="242" spans="1:12" hidden="1">
      <c r="A242" s="37" t="s">
        <v>1031</v>
      </c>
      <c r="B242" s="37"/>
      <c r="C242" s="37" t="s">
        <v>786</v>
      </c>
      <c r="D242" s="64">
        <v>6210</v>
      </c>
      <c r="E242" s="38">
        <v>2.31</v>
      </c>
      <c r="F242" s="39">
        <v>33.445903000000001</v>
      </c>
      <c r="G242" s="38">
        <v>0.14575869999999999</v>
      </c>
      <c r="H242" s="38">
        <v>0.34778568999999998</v>
      </c>
      <c r="I242" s="38">
        <v>0.25643500000000002</v>
      </c>
      <c r="J242" s="38">
        <v>4.7187537000000002E-2</v>
      </c>
      <c r="K242" s="38">
        <v>9.4321172999999994E-2</v>
      </c>
      <c r="L242" s="40">
        <v>34.337391100000005</v>
      </c>
    </row>
    <row r="243" spans="1:12" hidden="1">
      <c r="A243" s="37" t="s">
        <v>1032</v>
      </c>
      <c r="B243" s="37"/>
      <c r="C243" s="37" t="s">
        <v>788</v>
      </c>
      <c r="D243" s="64">
        <v>6206</v>
      </c>
      <c r="E243" s="38">
        <v>2.29</v>
      </c>
      <c r="F243" s="39">
        <v>26.475932</v>
      </c>
      <c r="G243" s="38">
        <v>0.11538326</v>
      </c>
      <c r="H243" s="38">
        <v>0.27530876999999998</v>
      </c>
      <c r="I243" s="38">
        <v>0.20299513</v>
      </c>
      <c r="J243" s="38">
        <v>3.7353873000000003E-2</v>
      </c>
      <c r="K243" s="38">
        <v>6.6736979E-3</v>
      </c>
      <c r="L243" s="40">
        <v>27.113646730900001</v>
      </c>
    </row>
    <row r="244" spans="1:12" hidden="1">
      <c r="A244" s="37" t="s">
        <v>1033</v>
      </c>
      <c r="B244" s="37"/>
      <c r="C244" s="37" t="s">
        <v>786</v>
      </c>
      <c r="D244" s="64">
        <v>6207</v>
      </c>
      <c r="E244" s="38">
        <v>2.31</v>
      </c>
      <c r="F244" s="39">
        <v>33.445903000000001</v>
      </c>
      <c r="G244" s="38">
        <v>0.14575869999999999</v>
      </c>
      <c r="H244" s="38">
        <v>0.34778568999999998</v>
      </c>
      <c r="I244" s="38">
        <v>0.25643500000000002</v>
      </c>
      <c r="J244" s="38">
        <v>4.7187537000000002E-2</v>
      </c>
      <c r="K244" s="38">
        <v>9.4321172999999994E-2</v>
      </c>
      <c r="L244" s="40">
        <v>34.337391100000005</v>
      </c>
    </row>
    <row r="245" spans="1:12" hidden="1">
      <c r="A245" s="37" t="s">
        <v>1034</v>
      </c>
      <c r="B245" s="37"/>
      <c r="C245" s="37" t="s">
        <v>788</v>
      </c>
      <c r="D245" s="64">
        <v>6252</v>
      </c>
      <c r="E245" s="38">
        <v>2.4300000000000002</v>
      </c>
      <c r="F245" s="39">
        <v>32.481403</v>
      </c>
      <c r="G245" s="38">
        <v>0.25284846999999999</v>
      </c>
      <c r="H245" s="38">
        <v>0.26884300999999999</v>
      </c>
      <c r="I245" s="38">
        <v>0.20622365000000001</v>
      </c>
      <c r="J245" s="38">
        <v>3.7353873000000003E-2</v>
      </c>
      <c r="K245" s="38">
        <v>6.6736979E-3</v>
      </c>
      <c r="L245" s="40">
        <v>33.253345700899999</v>
      </c>
    </row>
    <row r="246" spans="1:12" hidden="1">
      <c r="A246" s="37" t="s">
        <v>1035</v>
      </c>
      <c r="B246" s="37"/>
      <c r="C246" s="37" t="s">
        <v>786</v>
      </c>
      <c r="D246" s="64">
        <v>6253</v>
      </c>
      <c r="E246" s="38">
        <v>2.46</v>
      </c>
      <c r="F246" s="39">
        <v>41.044533000000001</v>
      </c>
      <c r="G246" s="38">
        <v>0.32071780999999999</v>
      </c>
      <c r="H246" s="38">
        <v>0.33946980999999998</v>
      </c>
      <c r="I246" s="38">
        <v>0.26127888999999999</v>
      </c>
      <c r="J246" s="38">
        <v>4.7187537000000002E-2</v>
      </c>
      <c r="K246" s="38">
        <v>0.11950048000000001</v>
      </c>
      <c r="L246" s="40">
        <v>42.132687526999995</v>
      </c>
    </row>
    <row r="247" spans="1:12" hidden="1">
      <c r="A247" s="37" t="s">
        <v>1036</v>
      </c>
      <c r="B247" s="37"/>
      <c r="C247" s="37" t="s">
        <v>788</v>
      </c>
      <c r="D247" s="64">
        <v>6254</v>
      </c>
      <c r="E247" s="38">
        <v>1.99</v>
      </c>
      <c r="F247" s="39">
        <v>32.481403</v>
      </c>
      <c r="G247" s="38">
        <v>0.25284846999999999</v>
      </c>
      <c r="H247" s="38">
        <v>0.26884300999999999</v>
      </c>
      <c r="I247" s="38">
        <v>0.20622365000000001</v>
      </c>
      <c r="J247" s="38">
        <v>3.7353873000000003E-2</v>
      </c>
      <c r="K247" s="38">
        <v>6.6736979E-3</v>
      </c>
      <c r="L247" s="40">
        <v>33.253345700899999</v>
      </c>
    </row>
    <row r="248" spans="1:12" hidden="1">
      <c r="A248" s="37" t="s">
        <v>1037</v>
      </c>
      <c r="B248" s="37"/>
      <c r="C248" s="37" t="s">
        <v>786</v>
      </c>
      <c r="D248" s="64">
        <v>6255</v>
      </c>
      <c r="E248" s="38">
        <v>2.0299999999999998</v>
      </c>
      <c r="F248" s="39">
        <v>41.044533000000001</v>
      </c>
      <c r="G248" s="38">
        <v>0.32071780999999999</v>
      </c>
      <c r="H248" s="38">
        <v>0.33946980999999998</v>
      </c>
      <c r="I248" s="38">
        <v>0.26127888999999999</v>
      </c>
      <c r="J248" s="38">
        <v>4.7187537000000002E-2</v>
      </c>
      <c r="K248" s="38">
        <v>0.11950048000000001</v>
      </c>
      <c r="L248" s="40">
        <v>42.132687526999995</v>
      </c>
    </row>
    <row r="249" spans="1:12" hidden="1">
      <c r="A249" s="37" t="s">
        <v>1038</v>
      </c>
      <c r="B249" s="37"/>
      <c r="C249" s="37" t="s">
        <v>788</v>
      </c>
      <c r="D249" s="64">
        <v>6256</v>
      </c>
      <c r="E249" s="38">
        <v>2.4300000000000002</v>
      </c>
      <c r="F249" s="39">
        <v>32.481403</v>
      </c>
      <c r="G249" s="38">
        <v>0.25284846999999999</v>
      </c>
      <c r="H249" s="38">
        <v>0.26884300999999999</v>
      </c>
      <c r="I249" s="38">
        <v>0.20622365000000001</v>
      </c>
      <c r="J249" s="38">
        <v>3.7353873000000003E-2</v>
      </c>
      <c r="K249" s="38">
        <v>6.6736979E-3</v>
      </c>
      <c r="L249" s="40">
        <v>33.253345700899999</v>
      </c>
    </row>
    <row r="250" spans="1:12" hidden="1">
      <c r="A250" s="37" t="s">
        <v>1039</v>
      </c>
      <c r="B250" s="37"/>
      <c r="C250" s="37" t="s">
        <v>786</v>
      </c>
      <c r="D250" s="64">
        <v>6257</v>
      </c>
      <c r="E250" s="38">
        <v>2.46</v>
      </c>
      <c r="F250" s="39">
        <v>41.044533000000001</v>
      </c>
      <c r="G250" s="38">
        <v>0.32071780999999999</v>
      </c>
      <c r="H250" s="38">
        <v>0.33946980999999998</v>
      </c>
      <c r="I250" s="38">
        <v>0.26127888999999999</v>
      </c>
      <c r="J250" s="38">
        <v>4.7187537000000002E-2</v>
      </c>
      <c r="K250" s="38">
        <v>0.11950048000000001</v>
      </c>
      <c r="L250" s="40">
        <v>42.132687526999995</v>
      </c>
    </row>
    <row r="251" spans="1:12" hidden="1">
      <c r="A251" s="37" t="s">
        <v>1040</v>
      </c>
      <c r="B251" s="37"/>
      <c r="C251" s="37" t="s">
        <v>788</v>
      </c>
      <c r="D251" s="64">
        <v>6250</v>
      </c>
      <c r="E251" s="38">
        <v>2.4300000000000002</v>
      </c>
      <c r="F251" s="39">
        <v>32.481403</v>
      </c>
      <c r="G251" s="38">
        <v>0.25284846999999999</v>
      </c>
      <c r="H251" s="38">
        <v>0.26884300999999999</v>
      </c>
      <c r="I251" s="38">
        <v>0.20622365000000001</v>
      </c>
      <c r="J251" s="38">
        <v>3.7353873000000003E-2</v>
      </c>
      <c r="K251" s="38">
        <v>6.6736979E-3</v>
      </c>
      <c r="L251" s="40">
        <v>33.253345700899999</v>
      </c>
    </row>
    <row r="252" spans="1:12" hidden="1">
      <c r="A252" s="37" t="s">
        <v>1041</v>
      </c>
      <c r="B252" s="37"/>
      <c r="C252" s="37" t="s">
        <v>786</v>
      </c>
      <c r="D252" s="64">
        <v>6251</v>
      </c>
      <c r="E252" s="38">
        <v>2.46</v>
      </c>
      <c r="F252" s="39">
        <v>41.044533000000001</v>
      </c>
      <c r="G252" s="38">
        <v>0.32071780999999999</v>
      </c>
      <c r="H252" s="38">
        <v>0.33946980999999998</v>
      </c>
      <c r="I252" s="38">
        <v>0.26127888999999999</v>
      </c>
      <c r="J252" s="38">
        <v>4.7187537000000002E-2</v>
      </c>
      <c r="K252" s="38">
        <v>0.11950048000000001</v>
      </c>
      <c r="L252" s="40">
        <v>42.132687526999995</v>
      </c>
    </row>
    <row r="253" spans="1:12" hidden="1">
      <c r="A253" s="37" t="s">
        <v>1042</v>
      </c>
      <c r="B253" s="37"/>
      <c r="C253" s="37" t="s">
        <v>788</v>
      </c>
      <c r="D253" s="64">
        <v>6201</v>
      </c>
      <c r="E253" s="38">
        <v>2.29</v>
      </c>
      <c r="F253" s="39">
        <v>26.475932</v>
      </c>
      <c r="G253" s="38">
        <v>0.11538326</v>
      </c>
      <c r="H253" s="38">
        <v>0.27530876999999998</v>
      </c>
      <c r="I253" s="38">
        <v>0.20299513</v>
      </c>
      <c r="J253" s="38">
        <v>3.7353873000000003E-2</v>
      </c>
      <c r="K253" s="38">
        <v>6.6736979E-3</v>
      </c>
      <c r="L253" s="40">
        <v>27.113646730900001</v>
      </c>
    </row>
    <row r="254" spans="1:12" hidden="1">
      <c r="A254" s="37" t="s">
        <v>1043</v>
      </c>
      <c r="B254" s="37"/>
      <c r="C254" s="37" t="s">
        <v>786</v>
      </c>
      <c r="D254" s="64">
        <v>6200</v>
      </c>
      <c r="E254" s="38">
        <v>2.31</v>
      </c>
      <c r="F254" s="39">
        <v>33.445903000000001</v>
      </c>
      <c r="G254" s="38">
        <v>0.14575869999999999</v>
      </c>
      <c r="H254" s="38">
        <v>0.34778568999999998</v>
      </c>
      <c r="I254" s="38">
        <v>0.25643500000000002</v>
      </c>
      <c r="J254" s="38">
        <v>4.7187537000000002E-2</v>
      </c>
      <c r="K254" s="38">
        <v>9.4321172999999994E-2</v>
      </c>
      <c r="L254" s="40">
        <v>34.337391100000005</v>
      </c>
    </row>
    <row r="255" spans="1:12" hidden="1">
      <c r="A255" s="37" t="s">
        <v>1044</v>
      </c>
      <c r="B255" s="37"/>
      <c r="C255" s="37" t="s">
        <v>788</v>
      </c>
      <c r="D255" s="64">
        <v>6160</v>
      </c>
      <c r="E255" s="38">
        <v>2.29</v>
      </c>
      <c r="F255" s="39">
        <v>26.475932</v>
      </c>
      <c r="G255" s="38">
        <v>0.11538326</v>
      </c>
      <c r="H255" s="38">
        <v>0.27530876999999998</v>
      </c>
      <c r="I255" s="38">
        <v>0.20299513</v>
      </c>
      <c r="J255" s="38">
        <v>3.7353873000000003E-2</v>
      </c>
      <c r="K255" s="38">
        <v>6.6736979E-3</v>
      </c>
      <c r="L255" s="40">
        <v>27.113646730900001</v>
      </c>
    </row>
    <row r="256" spans="1:12" hidden="1">
      <c r="A256" s="37" t="s">
        <v>1045</v>
      </c>
      <c r="B256" s="37"/>
      <c r="C256" s="37" t="s">
        <v>786</v>
      </c>
      <c r="D256" s="64">
        <v>6161</v>
      </c>
      <c r="E256" s="38">
        <v>2.31</v>
      </c>
      <c r="F256" s="39">
        <v>33.458080000000002</v>
      </c>
      <c r="G256" s="38">
        <v>0.14706394</v>
      </c>
      <c r="H256" s="38">
        <v>0.34762968999999999</v>
      </c>
      <c r="I256" s="38">
        <v>0.25720045000000002</v>
      </c>
      <c r="J256" s="38">
        <v>4.7187537000000002E-2</v>
      </c>
      <c r="K256" s="38">
        <v>0.11950048000000001</v>
      </c>
      <c r="L256" s="40">
        <v>34.376662097000001</v>
      </c>
    </row>
    <row r="257" spans="1:12" hidden="1">
      <c r="A257" s="37" t="s">
        <v>1046</v>
      </c>
      <c r="B257" s="37"/>
      <c r="C257" s="37" t="s">
        <v>786</v>
      </c>
      <c r="D257" s="64">
        <v>6162</v>
      </c>
      <c r="E257" s="38">
        <v>2.31</v>
      </c>
      <c r="F257" s="39">
        <v>33.445903000000001</v>
      </c>
      <c r="G257" s="38">
        <v>0.14575869999999999</v>
      </c>
      <c r="H257" s="38">
        <v>0.34778568999999998</v>
      </c>
      <c r="I257" s="38">
        <v>0.25643500000000002</v>
      </c>
      <c r="J257" s="38">
        <v>4.7187537000000002E-2</v>
      </c>
      <c r="K257" s="38">
        <v>9.4321172999999994E-2</v>
      </c>
      <c r="L257" s="40">
        <v>34.337391100000005</v>
      </c>
    </row>
    <row r="258" spans="1:12" hidden="1">
      <c r="A258" s="37" t="s">
        <v>1047</v>
      </c>
      <c r="B258" s="37"/>
      <c r="C258" s="37" t="s">
        <v>826</v>
      </c>
      <c r="D258" s="64">
        <v>26100</v>
      </c>
      <c r="E258" s="38">
        <v>3.68</v>
      </c>
      <c r="F258" s="39">
        <v>0.28543309</v>
      </c>
      <c r="G258" s="38">
        <v>0</v>
      </c>
      <c r="H258" s="38">
        <v>0.27530876999999998</v>
      </c>
      <c r="I258" s="38">
        <v>0.90277483999999997</v>
      </c>
      <c r="J258" s="38">
        <v>3.7353873000000003E-2</v>
      </c>
      <c r="K258" s="38">
        <v>6.6736979E-3</v>
      </c>
      <c r="L258" s="40">
        <v>1.5075442709</v>
      </c>
    </row>
    <row r="259" spans="1:12" hidden="1">
      <c r="A259" s="37" t="s">
        <v>1048</v>
      </c>
      <c r="B259" s="37"/>
      <c r="C259" s="37" t="s">
        <v>650</v>
      </c>
      <c r="D259" s="64">
        <v>18905</v>
      </c>
      <c r="E259" s="38">
        <v>2.23</v>
      </c>
      <c r="F259" s="39">
        <v>0.13691073000000001</v>
      </c>
      <c r="G259" s="38">
        <v>0.15058611</v>
      </c>
      <c r="H259" s="38">
        <v>9.9850469999999997E-2</v>
      </c>
      <c r="I259" s="38">
        <v>0.13330164999999999</v>
      </c>
      <c r="J259" s="38">
        <v>1.4619521E-2</v>
      </c>
      <c r="K259" s="38">
        <v>0</v>
      </c>
      <c r="L259" s="40">
        <v>0.53526848099999991</v>
      </c>
    </row>
    <row r="260" spans="1:12" hidden="1">
      <c r="A260" s="41" t="s">
        <v>1049</v>
      </c>
      <c r="B260" s="41"/>
      <c r="C260" s="41" t="s">
        <v>650</v>
      </c>
      <c r="D260" s="65">
        <v>18904</v>
      </c>
      <c r="E260" s="42">
        <v>3.56</v>
      </c>
      <c r="F260" s="43">
        <v>9.0492227999999994E-2</v>
      </c>
      <c r="G260" s="42">
        <v>4.9211736999999998E-2</v>
      </c>
      <c r="H260" s="42">
        <v>9.9850469999999997E-2</v>
      </c>
      <c r="I260" s="42">
        <v>0.11743923000000001</v>
      </c>
      <c r="J260" s="42">
        <v>8.6294933000000008E-3</v>
      </c>
      <c r="K260" s="42">
        <v>6.6736979E-3</v>
      </c>
      <c r="L260" s="44">
        <v>0.37229685619999997</v>
      </c>
    </row>
    <row r="261" spans="1:12" hidden="1">
      <c r="A261" s="37" t="s">
        <v>1050</v>
      </c>
      <c r="B261" s="37"/>
      <c r="C261" s="37" t="s">
        <v>650</v>
      </c>
      <c r="D261" s="64">
        <v>18011</v>
      </c>
      <c r="E261" s="38">
        <v>2.0130199194892686</v>
      </c>
      <c r="F261" s="39">
        <v>0.50227913000000002</v>
      </c>
      <c r="G261" s="38">
        <v>0.13350408</v>
      </c>
      <c r="H261" s="38">
        <v>9.9850469999999997E-2</v>
      </c>
      <c r="I261" s="38">
        <v>0.36351801</v>
      </c>
      <c r="J261" s="38">
        <v>1.3955248999999999E-2</v>
      </c>
      <c r="K261" s="38">
        <v>0</v>
      </c>
      <c r="L261" s="40">
        <v>1.1131069389999999</v>
      </c>
    </row>
    <row r="262" spans="1:12" hidden="1">
      <c r="A262" s="37" t="s">
        <v>1050</v>
      </c>
      <c r="B262" s="37"/>
      <c r="C262" s="37" t="s">
        <v>650</v>
      </c>
      <c r="D262" s="64">
        <v>18907</v>
      </c>
      <c r="E262" s="38">
        <v>2.052724213305074</v>
      </c>
      <c r="F262" s="39">
        <v>0.20128245</v>
      </c>
      <c r="G262" s="38">
        <v>0.34541073</v>
      </c>
      <c r="H262" s="38">
        <v>9.9850469999999997E-2</v>
      </c>
      <c r="I262" s="38">
        <v>0.18879183999999999</v>
      </c>
      <c r="J262" s="38">
        <v>1.4619521E-2</v>
      </c>
      <c r="K262" s="38">
        <v>0</v>
      </c>
      <c r="L262" s="40">
        <v>0.84995501100000004</v>
      </c>
    </row>
    <row r="263" spans="1:12" hidden="1">
      <c r="A263" s="37" t="s">
        <v>1051</v>
      </c>
      <c r="B263" s="37"/>
      <c r="C263" s="37" t="s">
        <v>650</v>
      </c>
      <c r="D263" s="64">
        <v>18107</v>
      </c>
      <c r="E263" s="38">
        <v>2.21</v>
      </c>
      <c r="F263" s="39">
        <v>9.0492227999999994E-2</v>
      </c>
      <c r="G263" s="38">
        <v>4.9211736999999998E-2</v>
      </c>
      <c r="H263" s="38">
        <v>9.9850469999999997E-2</v>
      </c>
      <c r="I263" s="38">
        <v>0.11743923000000001</v>
      </c>
      <c r="J263" s="38">
        <v>1.4619521E-2</v>
      </c>
      <c r="K263" s="38">
        <v>0</v>
      </c>
      <c r="L263" s="40">
        <v>0.37161318599999998</v>
      </c>
    </row>
    <row r="264" spans="1:12" hidden="1">
      <c r="A264" s="37" t="s">
        <v>1052</v>
      </c>
      <c r="B264" s="37"/>
      <c r="C264" s="37" t="s">
        <v>650</v>
      </c>
      <c r="D264" s="64">
        <v>18030</v>
      </c>
      <c r="E264" s="38">
        <v>2.97</v>
      </c>
      <c r="F264" s="39">
        <v>4.4520645000000001E-3</v>
      </c>
      <c r="G264" s="38">
        <v>0</v>
      </c>
      <c r="H264" s="38">
        <v>0.1549391</v>
      </c>
      <c r="I264" s="38">
        <v>0.18443184000000001</v>
      </c>
      <c r="J264" s="38">
        <v>3.5836186999999999E-2</v>
      </c>
      <c r="K264" s="38">
        <v>6.6736979E-3</v>
      </c>
      <c r="L264" s="40">
        <v>0.38633288940000005</v>
      </c>
    </row>
    <row r="265" spans="1:12" hidden="1">
      <c r="A265" s="37" t="s">
        <v>1053</v>
      </c>
      <c r="B265" s="37"/>
      <c r="C265" s="37" t="s">
        <v>650</v>
      </c>
      <c r="D265" s="64">
        <v>18028</v>
      </c>
      <c r="E265" s="38">
        <v>2.97</v>
      </c>
      <c r="F265" s="39">
        <v>4.4520645000000001E-3</v>
      </c>
      <c r="G265" s="38">
        <v>0</v>
      </c>
      <c r="H265" s="38">
        <v>0.1549391</v>
      </c>
      <c r="I265" s="38">
        <v>0.18443184000000001</v>
      </c>
      <c r="J265" s="38">
        <v>3.5836186999999999E-2</v>
      </c>
      <c r="K265" s="38">
        <v>6.6736979E-3</v>
      </c>
      <c r="L265" s="40">
        <v>0.38633288940000005</v>
      </c>
    </row>
    <row r="266" spans="1:12" hidden="1">
      <c r="A266" s="37" t="s">
        <v>1054</v>
      </c>
      <c r="B266" s="37"/>
      <c r="C266" s="37" t="s">
        <v>650</v>
      </c>
      <c r="D266" s="64">
        <v>18012</v>
      </c>
      <c r="E266" s="38">
        <v>2.97</v>
      </c>
      <c r="F266" s="39">
        <v>4.4520645000000001E-3</v>
      </c>
      <c r="G266" s="38">
        <v>0</v>
      </c>
      <c r="H266" s="38">
        <v>0.1549391</v>
      </c>
      <c r="I266" s="38">
        <v>0.18443184000000001</v>
      </c>
      <c r="J266" s="38">
        <v>3.5836186999999999E-2</v>
      </c>
      <c r="K266" s="38">
        <v>6.6736979E-3</v>
      </c>
      <c r="L266" s="40">
        <v>0.38633288940000005</v>
      </c>
    </row>
    <row r="267" spans="1:12">
      <c r="A267" s="37" t="s">
        <v>1055</v>
      </c>
      <c r="B267" s="37"/>
      <c r="C267" s="37" t="s">
        <v>650</v>
      </c>
      <c r="D267" s="64">
        <v>18343</v>
      </c>
      <c r="E267" s="38">
        <v>3.68</v>
      </c>
      <c r="F267" s="39">
        <v>0.23393654999999999</v>
      </c>
      <c r="G267" s="38">
        <v>8.8360645000000002E-2</v>
      </c>
      <c r="H267" s="38">
        <v>0.17741768999999999</v>
      </c>
      <c r="I267" s="38">
        <v>0.32113777999999998</v>
      </c>
      <c r="J267" s="38">
        <v>3.5836186999999999E-2</v>
      </c>
      <c r="K267" s="38">
        <v>6.6736979E-3</v>
      </c>
      <c r="L267" s="40">
        <v>0.86336254989999994</v>
      </c>
    </row>
    <row r="268" spans="1:12" hidden="1">
      <c r="A268" s="41" t="s">
        <v>1056</v>
      </c>
      <c r="B268" s="41"/>
      <c r="C268" s="41" t="s">
        <v>650</v>
      </c>
      <c r="D268" s="65">
        <v>18902</v>
      </c>
      <c r="E268" s="42">
        <v>2.95</v>
      </c>
      <c r="F268" s="43">
        <v>0.11838402000000001</v>
      </c>
      <c r="G268" s="42">
        <v>8.8129258000000002E-2</v>
      </c>
      <c r="H268" s="42">
        <v>9.9850469999999997E-2</v>
      </c>
      <c r="I268" s="42">
        <v>0.12466629000000001</v>
      </c>
      <c r="J268" s="42">
        <v>1.5350219999999999E-2</v>
      </c>
      <c r="K268" s="42">
        <v>6.6736979E-3</v>
      </c>
      <c r="L268" s="44">
        <v>0.45305395590000003</v>
      </c>
    </row>
    <row r="269" spans="1:12" hidden="1">
      <c r="A269" s="41" t="s">
        <v>1057</v>
      </c>
      <c r="B269" s="41"/>
      <c r="C269" s="41" t="s">
        <v>650</v>
      </c>
      <c r="D269" s="65">
        <v>18903</v>
      </c>
      <c r="E269" s="42">
        <v>2.95</v>
      </c>
      <c r="F269" s="43">
        <v>0.11838402000000001</v>
      </c>
      <c r="G269" s="42">
        <v>8.8129258000000002E-2</v>
      </c>
      <c r="H269" s="42">
        <v>9.9850469999999997E-2</v>
      </c>
      <c r="I269" s="42">
        <v>0.12466629000000001</v>
      </c>
      <c r="J269" s="42">
        <v>1.5350219999999999E-2</v>
      </c>
      <c r="K269" s="42">
        <v>6.6736979E-3</v>
      </c>
      <c r="L269" s="44">
        <v>0.45305395590000003</v>
      </c>
    </row>
    <row r="270" spans="1:12" hidden="1">
      <c r="A270" s="41" t="s">
        <v>1058</v>
      </c>
      <c r="B270" s="41"/>
      <c r="C270" s="41" t="s">
        <v>650</v>
      </c>
      <c r="D270" s="65">
        <v>18900</v>
      </c>
      <c r="E270" s="42">
        <v>2.1800000000000002</v>
      </c>
      <c r="F270" s="43">
        <v>0.11838402000000001</v>
      </c>
      <c r="G270" s="42">
        <v>8.8129258000000002E-2</v>
      </c>
      <c r="H270" s="42">
        <v>9.9850469999999997E-2</v>
      </c>
      <c r="I270" s="42">
        <v>0.12466629000000001</v>
      </c>
      <c r="J270" s="42">
        <v>1.4619521E-2</v>
      </c>
      <c r="K270" s="42">
        <v>0</v>
      </c>
      <c r="L270" s="44">
        <v>0.44564955900000003</v>
      </c>
    </row>
    <row r="271" spans="1:12" hidden="1">
      <c r="A271" s="41" t="s">
        <v>1059</v>
      </c>
      <c r="B271" s="41"/>
      <c r="C271" s="41" t="s">
        <v>650</v>
      </c>
      <c r="D271" s="65">
        <v>18901</v>
      </c>
      <c r="E271" s="42">
        <v>2.95</v>
      </c>
      <c r="F271" s="43">
        <v>0.11838402000000001</v>
      </c>
      <c r="G271" s="42">
        <v>8.8129258000000002E-2</v>
      </c>
      <c r="H271" s="42">
        <v>9.9850469999999997E-2</v>
      </c>
      <c r="I271" s="42">
        <v>0.12466629000000001</v>
      </c>
      <c r="J271" s="42">
        <v>1.5350219999999999E-2</v>
      </c>
      <c r="K271" s="42">
        <v>6.6736979E-3</v>
      </c>
      <c r="L271" s="44">
        <v>0.45305395590000003</v>
      </c>
    </row>
    <row r="272" spans="1:12" hidden="1">
      <c r="A272" s="41" t="s">
        <v>1060</v>
      </c>
      <c r="B272" s="41"/>
      <c r="C272" s="41" t="s">
        <v>650</v>
      </c>
      <c r="D272" s="65">
        <v>18065</v>
      </c>
      <c r="E272" s="42">
        <v>3.02</v>
      </c>
      <c r="F272" s="43">
        <v>9.9669021999999996E-2</v>
      </c>
      <c r="G272" s="42">
        <v>1.2479426E-2</v>
      </c>
      <c r="H272" s="42">
        <v>0.17741768999999999</v>
      </c>
      <c r="I272" s="42">
        <v>0.18995268000000001</v>
      </c>
      <c r="J272" s="42">
        <v>3.5836186999999999E-2</v>
      </c>
      <c r="K272" s="42">
        <v>6.6736979E-3</v>
      </c>
      <c r="L272" s="44">
        <v>0.52202870290000003</v>
      </c>
    </row>
    <row r="273" spans="1:12" hidden="1">
      <c r="A273" s="41" t="s">
        <v>1061</v>
      </c>
      <c r="B273" s="41"/>
      <c r="C273" s="41" t="s">
        <v>650</v>
      </c>
      <c r="D273" s="65">
        <v>18075</v>
      </c>
      <c r="E273" s="42">
        <v>2.74</v>
      </c>
      <c r="F273" s="43">
        <v>9.9669021999999996E-2</v>
      </c>
      <c r="G273" s="42">
        <v>1.2479426E-2</v>
      </c>
      <c r="H273" s="42">
        <v>0.17741768999999999</v>
      </c>
      <c r="I273" s="42">
        <v>0.18995268000000001</v>
      </c>
      <c r="J273" s="42">
        <v>3.5836186999999999E-2</v>
      </c>
      <c r="K273" s="42">
        <v>6.6736979E-3</v>
      </c>
      <c r="L273" s="44">
        <v>0.52202870290000003</v>
      </c>
    </row>
    <row r="274" spans="1:12" hidden="1">
      <c r="A274" s="41" t="s">
        <v>1062</v>
      </c>
      <c r="B274" s="41"/>
      <c r="C274" s="41" t="s">
        <v>650</v>
      </c>
      <c r="D274" s="65">
        <v>18015</v>
      </c>
      <c r="E274" s="42">
        <v>3.02</v>
      </c>
      <c r="F274" s="43">
        <v>9.9669021999999996E-2</v>
      </c>
      <c r="G274" s="42">
        <v>1.2479426E-2</v>
      </c>
      <c r="H274" s="42">
        <v>0.17741768999999999</v>
      </c>
      <c r="I274" s="42">
        <v>0.18995268000000001</v>
      </c>
      <c r="J274" s="42">
        <v>3.5836186999999999E-2</v>
      </c>
      <c r="K274" s="42">
        <v>6.6736979E-3</v>
      </c>
      <c r="L274" s="44">
        <v>0.52202870290000003</v>
      </c>
    </row>
    <row r="275" spans="1:12" hidden="1">
      <c r="A275" s="37" t="s">
        <v>1063</v>
      </c>
      <c r="B275" s="37"/>
      <c r="C275" s="37" t="s">
        <v>1064</v>
      </c>
      <c r="D275" s="64">
        <v>13159</v>
      </c>
      <c r="E275" s="38">
        <v>3.04</v>
      </c>
      <c r="F275" s="39">
        <v>0.25733020000000001</v>
      </c>
      <c r="G275" s="38">
        <v>9.7196710000000006E-2</v>
      </c>
      <c r="H275" s="38">
        <v>0.15973225999999999</v>
      </c>
      <c r="I275" s="38">
        <v>0.26074113999999998</v>
      </c>
      <c r="J275" s="38">
        <v>1.9437894000000001E-2</v>
      </c>
      <c r="K275" s="38">
        <v>0</v>
      </c>
      <c r="L275" s="40">
        <v>0.79443820399999998</v>
      </c>
    </row>
    <row r="276" spans="1:12" hidden="1">
      <c r="A276" s="37" t="s">
        <v>1065</v>
      </c>
      <c r="B276" s="37"/>
      <c r="C276" s="37" t="s">
        <v>650</v>
      </c>
      <c r="D276" s="64">
        <v>18106</v>
      </c>
      <c r="E276" s="38">
        <v>3.07</v>
      </c>
      <c r="F276" s="39">
        <v>1.0384472</v>
      </c>
      <c r="G276" s="38">
        <v>1.2187491E-2</v>
      </c>
      <c r="H276" s="38">
        <v>0.17337675999999999</v>
      </c>
      <c r="I276" s="38">
        <v>0.20114461</v>
      </c>
      <c r="J276" s="38">
        <v>1.5700914E-2</v>
      </c>
      <c r="K276" s="38">
        <v>1.0908103000000001E-2</v>
      </c>
      <c r="L276" s="40">
        <v>1.451765078</v>
      </c>
    </row>
    <row r="277" spans="1:12" hidden="1">
      <c r="A277" s="37" t="s">
        <v>1066</v>
      </c>
      <c r="B277" s="37"/>
      <c r="C277" s="37" t="s">
        <v>650</v>
      </c>
      <c r="D277" s="64">
        <v>18104</v>
      </c>
      <c r="E277" s="38">
        <v>2.76</v>
      </c>
      <c r="F277" s="39">
        <v>1.0384472</v>
      </c>
      <c r="G277" s="38">
        <v>1.2187491E-2</v>
      </c>
      <c r="H277" s="38">
        <v>0.18485816999999999</v>
      </c>
      <c r="I277" s="38">
        <v>0.20114461</v>
      </c>
      <c r="J277" s="38">
        <v>1.5694527E-2</v>
      </c>
      <c r="K277" s="38">
        <v>1.0908103000000001E-2</v>
      </c>
      <c r="L277" s="40">
        <v>1.463240101</v>
      </c>
    </row>
    <row r="278" spans="1:12" hidden="1">
      <c r="A278" s="37" t="s">
        <v>1067</v>
      </c>
      <c r="B278" s="37"/>
      <c r="C278" s="37" t="s">
        <v>650</v>
      </c>
      <c r="D278" s="64">
        <v>18353</v>
      </c>
      <c r="E278" s="38">
        <v>2.92</v>
      </c>
      <c r="F278" s="39">
        <v>3.8780787999999997E-2</v>
      </c>
      <c r="G278" s="38">
        <v>2.5542621000000001E-2</v>
      </c>
      <c r="H278" s="38">
        <v>0.17741768999999999</v>
      </c>
      <c r="I278" s="38">
        <v>0.18675542000000001</v>
      </c>
      <c r="J278" s="38">
        <v>3.5836186999999999E-2</v>
      </c>
      <c r="K278" s="38">
        <v>6.6736979E-3</v>
      </c>
      <c r="L278" s="40">
        <v>0.47100640389999998</v>
      </c>
    </row>
    <row r="279" spans="1:12" hidden="1">
      <c r="A279" s="37" t="s">
        <v>1068</v>
      </c>
      <c r="B279" s="37"/>
      <c r="C279" s="37" t="s">
        <v>650</v>
      </c>
      <c r="D279" s="64">
        <v>18352</v>
      </c>
      <c r="E279" s="38">
        <v>3.2</v>
      </c>
      <c r="F279" s="39">
        <v>3.8780787999999997E-2</v>
      </c>
      <c r="G279" s="38">
        <v>2.5542621000000001E-2</v>
      </c>
      <c r="H279" s="38">
        <v>0.17741768999999999</v>
      </c>
      <c r="I279" s="38">
        <v>0.18675542000000001</v>
      </c>
      <c r="J279" s="38">
        <v>3.5836186999999999E-2</v>
      </c>
      <c r="K279" s="38">
        <v>6.6736979E-3</v>
      </c>
      <c r="L279" s="40">
        <v>0.47100640389999998</v>
      </c>
    </row>
    <row r="280" spans="1:12">
      <c r="A280" s="37" t="s">
        <v>1069</v>
      </c>
      <c r="B280" s="37"/>
      <c r="C280" s="37" t="s">
        <v>650</v>
      </c>
      <c r="D280" s="64">
        <v>18340</v>
      </c>
      <c r="E280" s="38">
        <v>2.97</v>
      </c>
      <c r="F280" s="39">
        <v>4.4520645000000001E-3</v>
      </c>
      <c r="G280" s="38">
        <v>0</v>
      </c>
      <c r="H280" s="38">
        <v>0.1549391</v>
      </c>
      <c r="I280" s="38">
        <v>0.18443184000000001</v>
      </c>
      <c r="J280" s="38">
        <v>3.5836186999999999E-2</v>
      </c>
      <c r="K280" s="38">
        <v>6.6736979E-3</v>
      </c>
      <c r="L280" s="40">
        <v>0.38633288940000005</v>
      </c>
    </row>
    <row r="281" spans="1:12">
      <c r="A281" s="37" t="s">
        <v>1070</v>
      </c>
      <c r="B281" s="37"/>
      <c r="C281" s="37" t="s">
        <v>650</v>
      </c>
      <c r="D281" s="64">
        <v>18345</v>
      </c>
      <c r="E281" s="38">
        <v>2.97</v>
      </c>
      <c r="F281" s="39">
        <v>4.4520645000000001E-3</v>
      </c>
      <c r="G281" s="38">
        <v>0</v>
      </c>
      <c r="H281" s="38">
        <v>0.1549391</v>
      </c>
      <c r="I281" s="38">
        <v>0.18443184000000001</v>
      </c>
      <c r="J281" s="38">
        <v>3.5836186999999999E-2</v>
      </c>
      <c r="K281" s="38">
        <v>6.6736979E-3</v>
      </c>
      <c r="L281" s="40">
        <v>0.38633288940000005</v>
      </c>
    </row>
    <row r="282" spans="1:12">
      <c r="A282" s="37" t="s">
        <v>1071</v>
      </c>
      <c r="B282" s="37"/>
      <c r="C282" s="37" t="s">
        <v>650</v>
      </c>
      <c r="D282" s="64">
        <v>18049</v>
      </c>
      <c r="E282" s="38">
        <v>3.54</v>
      </c>
      <c r="F282" s="39">
        <v>8.2007864E-3</v>
      </c>
      <c r="G282" s="38">
        <v>2.0704026E-2</v>
      </c>
      <c r="H282" s="38">
        <v>0.17741768999999999</v>
      </c>
      <c r="I282" s="38">
        <v>0.18822849</v>
      </c>
      <c r="J282" s="38">
        <v>3.5836186999999999E-2</v>
      </c>
      <c r="K282" s="38">
        <v>6.6736979E-3</v>
      </c>
      <c r="L282" s="40">
        <v>0.43706087730000004</v>
      </c>
    </row>
    <row r="283" spans="1:12">
      <c r="A283" s="37" t="s">
        <v>1072</v>
      </c>
      <c r="B283" s="37"/>
      <c r="C283" s="37" t="s">
        <v>650</v>
      </c>
      <c r="D283" s="64">
        <v>18033</v>
      </c>
      <c r="E283" s="38">
        <v>3.54</v>
      </c>
      <c r="F283" s="39">
        <v>8.2007864E-3</v>
      </c>
      <c r="G283" s="38">
        <v>2.0704026E-2</v>
      </c>
      <c r="H283" s="38">
        <v>0.17741768999999999</v>
      </c>
      <c r="I283" s="38">
        <v>0.18822849</v>
      </c>
      <c r="J283" s="38">
        <v>3.5836186999999999E-2</v>
      </c>
      <c r="K283" s="38">
        <v>6.6736979E-3</v>
      </c>
      <c r="L283" s="40">
        <v>0.43706087730000004</v>
      </c>
    </row>
    <row r="284" spans="1:12">
      <c r="A284" s="37" t="s">
        <v>1073</v>
      </c>
      <c r="B284" s="37"/>
      <c r="C284" s="37" t="s">
        <v>650</v>
      </c>
      <c r="D284" s="64">
        <v>18019</v>
      </c>
      <c r="E284" s="38">
        <v>3.54</v>
      </c>
      <c r="F284" s="39">
        <v>8.2007864E-3</v>
      </c>
      <c r="G284" s="38">
        <v>2.0704026E-2</v>
      </c>
      <c r="H284" s="38">
        <v>0.17741768999999999</v>
      </c>
      <c r="I284" s="38">
        <v>0.18822849</v>
      </c>
      <c r="J284" s="38">
        <v>3.5836186999999999E-2</v>
      </c>
      <c r="K284" s="38">
        <v>6.6736979E-3</v>
      </c>
      <c r="L284" s="40">
        <v>0.43706087730000004</v>
      </c>
    </row>
    <row r="285" spans="1:12">
      <c r="A285" s="41" t="s">
        <v>1074</v>
      </c>
      <c r="B285" s="41"/>
      <c r="C285" s="41" t="s">
        <v>650</v>
      </c>
      <c r="D285" s="65">
        <v>18026</v>
      </c>
      <c r="E285" s="42">
        <v>2.6</v>
      </c>
      <c r="F285" s="43">
        <v>6.4760169000000006E-2</v>
      </c>
      <c r="G285" s="42">
        <v>2.7819751E-2</v>
      </c>
      <c r="H285" s="42">
        <v>0.17741768999999999</v>
      </c>
      <c r="I285" s="42">
        <v>0.19871755999999999</v>
      </c>
      <c r="J285" s="42">
        <v>3.5836186999999999E-2</v>
      </c>
      <c r="K285" s="42">
        <v>6.6736979E-3</v>
      </c>
      <c r="L285" s="44">
        <v>0.51122505490000003</v>
      </c>
    </row>
    <row r="286" spans="1:12">
      <c r="A286" s="41" t="s">
        <v>1075</v>
      </c>
      <c r="B286" s="41"/>
      <c r="C286" s="41" t="s">
        <v>650</v>
      </c>
      <c r="D286" s="65">
        <v>18078</v>
      </c>
      <c r="E286" s="42">
        <v>2.6</v>
      </c>
      <c r="F286" s="43">
        <v>6.4760169000000006E-2</v>
      </c>
      <c r="G286" s="42">
        <v>2.7819751E-2</v>
      </c>
      <c r="H286" s="42">
        <v>0.17741768999999999</v>
      </c>
      <c r="I286" s="42">
        <v>0.19871755999999999</v>
      </c>
      <c r="J286" s="42">
        <v>3.5836186999999999E-2</v>
      </c>
      <c r="K286" s="42">
        <v>6.6736979E-3</v>
      </c>
      <c r="L286" s="44">
        <v>0.51122505490000003</v>
      </c>
    </row>
    <row r="287" spans="1:12" hidden="1">
      <c r="A287" s="37" t="s">
        <v>1076</v>
      </c>
      <c r="B287" s="37"/>
      <c r="C287" s="37" t="s">
        <v>1064</v>
      </c>
      <c r="D287" s="64">
        <v>13162</v>
      </c>
      <c r="E287" s="38">
        <v>3.27</v>
      </c>
      <c r="F287" s="39">
        <v>1.0909161999999999</v>
      </c>
      <c r="G287" s="38">
        <v>0.17244756999999999</v>
      </c>
      <c r="H287" s="38">
        <v>0.15973225999999999</v>
      </c>
      <c r="I287" s="38">
        <v>0.15593894999999999</v>
      </c>
      <c r="J287" s="38">
        <v>1.9437894000000001E-2</v>
      </c>
      <c r="K287" s="38">
        <v>0</v>
      </c>
      <c r="L287" s="40">
        <v>1.5984728739999996</v>
      </c>
    </row>
    <row r="288" spans="1:12" hidden="1">
      <c r="A288" s="37" t="s">
        <v>1077</v>
      </c>
      <c r="B288" s="37"/>
      <c r="C288" s="37" t="s">
        <v>1064</v>
      </c>
      <c r="D288" s="64">
        <v>13161</v>
      </c>
      <c r="E288" s="38">
        <v>3.28</v>
      </c>
      <c r="F288" s="39">
        <v>1.0909161999999999</v>
      </c>
      <c r="G288" s="38">
        <v>0.17244756999999999</v>
      </c>
      <c r="H288" s="38">
        <v>0.15973225999999999</v>
      </c>
      <c r="I288" s="38">
        <v>0.15593894999999999</v>
      </c>
      <c r="J288" s="38">
        <v>1.9437894000000001E-2</v>
      </c>
      <c r="K288" s="38">
        <v>1.1022624E-2</v>
      </c>
      <c r="L288" s="40">
        <v>1.6094954979999996</v>
      </c>
    </row>
    <row r="289" spans="1:12" hidden="1">
      <c r="A289" s="37" t="s">
        <v>1078</v>
      </c>
      <c r="B289" s="37"/>
      <c r="C289" s="37" t="s">
        <v>1064</v>
      </c>
      <c r="D289" s="64">
        <v>13173</v>
      </c>
      <c r="E289" s="38">
        <v>3.28</v>
      </c>
      <c r="F289" s="39">
        <v>1.0909161999999999</v>
      </c>
      <c r="G289" s="38">
        <v>0.17244756999999999</v>
      </c>
      <c r="H289" s="38">
        <v>0.15973225999999999</v>
      </c>
      <c r="I289" s="38">
        <v>0.15593894999999999</v>
      </c>
      <c r="J289" s="38">
        <v>1.9437894000000001E-2</v>
      </c>
      <c r="K289" s="38">
        <v>1.1022624E-2</v>
      </c>
      <c r="L289" s="40">
        <v>1.6094954979999996</v>
      </c>
    </row>
    <row r="290" spans="1:12" hidden="1">
      <c r="A290" s="37" t="s">
        <v>1079</v>
      </c>
      <c r="B290" s="37"/>
      <c r="C290" s="37" t="s">
        <v>1064</v>
      </c>
      <c r="D290" s="64">
        <v>13170</v>
      </c>
      <c r="E290" s="38">
        <v>3.28</v>
      </c>
      <c r="F290" s="39">
        <v>1.0909161999999999</v>
      </c>
      <c r="G290" s="38">
        <v>0.17244756999999999</v>
      </c>
      <c r="H290" s="38">
        <v>0.15973225999999999</v>
      </c>
      <c r="I290" s="38">
        <v>0.15593894999999999</v>
      </c>
      <c r="J290" s="38">
        <v>1.9437894000000001E-2</v>
      </c>
      <c r="K290" s="38">
        <v>1.1022624E-2</v>
      </c>
      <c r="L290" s="40">
        <v>1.6094954979999996</v>
      </c>
    </row>
    <row r="291" spans="1:12" hidden="1">
      <c r="A291" s="37" t="s">
        <v>1080</v>
      </c>
      <c r="B291" s="37"/>
      <c r="C291" s="37" t="s">
        <v>1064</v>
      </c>
      <c r="D291" s="64">
        <v>13163</v>
      </c>
      <c r="E291" s="38">
        <v>3.28</v>
      </c>
      <c r="F291" s="39">
        <v>1.0909161999999999</v>
      </c>
      <c r="G291" s="38">
        <v>0.17244756999999999</v>
      </c>
      <c r="H291" s="38">
        <v>0.15973225999999999</v>
      </c>
      <c r="I291" s="38">
        <v>0.15593894999999999</v>
      </c>
      <c r="J291" s="38">
        <v>1.9437894000000001E-2</v>
      </c>
      <c r="K291" s="38">
        <v>1.1022624E-2</v>
      </c>
      <c r="L291" s="40">
        <v>1.6094954979999996</v>
      </c>
    </row>
    <row r="292" spans="1:12" hidden="1">
      <c r="A292" s="37" t="s">
        <v>1081</v>
      </c>
      <c r="B292" s="37"/>
      <c r="C292" s="37" t="s">
        <v>1064</v>
      </c>
      <c r="D292" s="64">
        <v>13169</v>
      </c>
      <c r="E292" s="38">
        <v>3.28</v>
      </c>
      <c r="F292" s="39">
        <v>1.0909161999999999</v>
      </c>
      <c r="G292" s="38">
        <v>0.17244756999999999</v>
      </c>
      <c r="H292" s="38">
        <v>0.15973225999999999</v>
      </c>
      <c r="I292" s="38">
        <v>0.15593894999999999</v>
      </c>
      <c r="J292" s="38">
        <v>1.9437894000000001E-2</v>
      </c>
      <c r="K292" s="38">
        <v>1.1022624E-2</v>
      </c>
      <c r="L292" s="40">
        <v>1.6094954979999996</v>
      </c>
    </row>
    <row r="293" spans="1:12" hidden="1">
      <c r="A293" s="41" t="s">
        <v>1082</v>
      </c>
      <c r="B293" s="41"/>
      <c r="C293" s="41" t="s">
        <v>650</v>
      </c>
      <c r="D293" s="65">
        <v>19127</v>
      </c>
      <c r="E293" s="42">
        <v>2.9</v>
      </c>
      <c r="F293" s="43">
        <v>0.93457678</v>
      </c>
      <c r="G293" s="42">
        <v>1.1296135000000001E-2</v>
      </c>
      <c r="H293" s="42">
        <v>0.17741768999999999</v>
      </c>
      <c r="I293" s="42">
        <v>0.20211512000000001</v>
      </c>
      <c r="J293" s="42">
        <v>3.5836186999999999E-2</v>
      </c>
      <c r="K293" s="42">
        <v>6.6736979E-3</v>
      </c>
      <c r="L293" s="44">
        <v>1.3679156098999998</v>
      </c>
    </row>
    <row r="294" spans="1:12" hidden="1">
      <c r="A294" s="37" t="s">
        <v>1083</v>
      </c>
      <c r="B294" s="37"/>
      <c r="C294" s="37" t="s">
        <v>650</v>
      </c>
      <c r="D294" s="64">
        <v>19122</v>
      </c>
      <c r="E294" s="38">
        <v>2.9</v>
      </c>
      <c r="F294" s="39">
        <v>0.93457678</v>
      </c>
      <c r="G294" s="38">
        <v>1.1296135000000001E-2</v>
      </c>
      <c r="H294" s="38">
        <v>0.17741768999999999</v>
      </c>
      <c r="I294" s="38">
        <v>0.20211512000000001</v>
      </c>
      <c r="J294" s="38">
        <v>3.5836186999999999E-2</v>
      </c>
      <c r="K294" s="38">
        <v>6.6736979E-3</v>
      </c>
      <c r="L294" s="40">
        <v>1.3679156098999998</v>
      </c>
    </row>
    <row r="295" spans="1:12" hidden="1">
      <c r="A295" s="37" t="s">
        <v>1084</v>
      </c>
      <c r="B295" s="37"/>
      <c r="C295" s="37" t="s">
        <v>1085</v>
      </c>
      <c r="D295" s="64">
        <v>19508</v>
      </c>
      <c r="E295" s="38">
        <v>3.61</v>
      </c>
      <c r="F295" s="39">
        <v>1.0334996000000001</v>
      </c>
      <c r="G295" s="38">
        <v>0.16337138000000001</v>
      </c>
      <c r="H295" s="38">
        <v>0.1838255</v>
      </c>
      <c r="I295" s="38">
        <v>0.23344159</v>
      </c>
      <c r="J295" s="38">
        <v>3.7768032999999999E-2</v>
      </c>
      <c r="K295" s="38">
        <v>6.6736979E-3</v>
      </c>
      <c r="L295" s="40">
        <v>1.6585798009000001</v>
      </c>
    </row>
    <row r="296" spans="1:12" hidden="1">
      <c r="A296" s="37" t="s">
        <v>1086</v>
      </c>
      <c r="B296" s="37"/>
      <c r="C296" s="37" t="s">
        <v>1085</v>
      </c>
      <c r="D296" s="64">
        <v>19535</v>
      </c>
      <c r="E296" s="38">
        <v>3.21</v>
      </c>
      <c r="F296" s="39">
        <v>1.0334996000000001</v>
      </c>
      <c r="G296" s="38">
        <v>0.16337138000000001</v>
      </c>
      <c r="H296" s="38">
        <v>0.1838255</v>
      </c>
      <c r="I296" s="38">
        <v>0.23344159</v>
      </c>
      <c r="J296" s="38">
        <v>3.7768032999999999E-2</v>
      </c>
      <c r="K296" s="38">
        <v>6.6736979E-3</v>
      </c>
      <c r="L296" s="40">
        <v>1.6585798009000001</v>
      </c>
    </row>
    <row r="297" spans="1:12" hidden="1">
      <c r="A297" s="37" t="s">
        <v>1087</v>
      </c>
      <c r="B297" s="37"/>
      <c r="C297" s="37" t="s">
        <v>1085</v>
      </c>
      <c r="D297" s="64">
        <v>19538</v>
      </c>
      <c r="E297" s="38">
        <v>3.61</v>
      </c>
      <c r="F297" s="39">
        <v>1.0334996000000001</v>
      </c>
      <c r="G297" s="38">
        <v>0.16337138000000001</v>
      </c>
      <c r="H297" s="38">
        <v>0.1838255</v>
      </c>
      <c r="I297" s="38">
        <v>0.23344159</v>
      </c>
      <c r="J297" s="38">
        <v>3.7768032999999999E-2</v>
      </c>
      <c r="K297" s="38">
        <v>6.6736979E-3</v>
      </c>
      <c r="L297" s="40">
        <v>1.6585798009000001</v>
      </c>
    </row>
    <row r="298" spans="1:12">
      <c r="A298" s="37" t="s">
        <v>1088</v>
      </c>
      <c r="B298" s="37"/>
      <c r="C298" s="37" t="s">
        <v>650</v>
      </c>
      <c r="D298" s="64">
        <v>18304</v>
      </c>
      <c r="E298" s="38">
        <v>3.56</v>
      </c>
      <c r="F298" s="39">
        <v>9.0943678E-2</v>
      </c>
      <c r="G298" s="38">
        <v>5.9458958999999999E-2</v>
      </c>
      <c r="H298" s="38">
        <v>0.17741768999999999</v>
      </c>
      <c r="I298" s="38">
        <v>0.18988078999999999</v>
      </c>
      <c r="J298" s="38">
        <v>3.5836186999999999E-2</v>
      </c>
      <c r="K298" s="38">
        <v>6.6736979E-3</v>
      </c>
      <c r="L298" s="40">
        <v>0.56021100190000006</v>
      </c>
    </row>
    <row r="299" spans="1:12">
      <c r="A299" s="37" t="s">
        <v>1089</v>
      </c>
      <c r="B299" s="37"/>
      <c r="C299" s="37" t="s">
        <v>650</v>
      </c>
      <c r="D299" s="64">
        <v>18339</v>
      </c>
      <c r="E299" s="38">
        <v>3.56</v>
      </c>
      <c r="F299" s="39">
        <v>9.0943678E-2</v>
      </c>
      <c r="G299" s="38">
        <v>5.9458958999999999E-2</v>
      </c>
      <c r="H299" s="38">
        <v>0.17741768999999999</v>
      </c>
      <c r="I299" s="38">
        <v>0.18988078999999999</v>
      </c>
      <c r="J299" s="38">
        <v>3.5836186999999999E-2</v>
      </c>
      <c r="K299" s="38">
        <v>6.6736979E-3</v>
      </c>
      <c r="L299" s="40">
        <v>0.56021100190000006</v>
      </c>
    </row>
    <row r="300" spans="1:12">
      <c r="A300" s="37" t="s">
        <v>1090</v>
      </c>
      <c r="B300" s="37"/>
      <c r="C300" s="37" t="s">
        <v>650</v>
      </c>
      <c r="D300" s="64">
        <v>18023</v>
      </c>
      <c r="E300" s="38">
        <v>3.31</v>
      </c>
      <c r="F300" s="39">
        <v>9.0943678E-2</v>
      </c>
      <c r="G300" s="38">
        <v>5.9458958999999999E-2</v>
      </c>
      <c r="H300" s="38">
        <v>0.17741768999999999</v>
      </c>
      <c r="I300" s="38">
        <v>0.18988078999999999</v>
      </c>
      <c r="J300" s="38">
        <v>3.5836186999999999E-2</v>
      </c>
      <c r="K300" s="38">
        <v>6.6736979E-3</v>
      </c>
      <c r="L300" s="40">
        <v>0.56021100190000006</v>
      </c>
    </row>
    <row r="301" spans="1:12">
      <c r="A301" s="37" t="s">
        <v>1091</v>
      </c>
      <c r="B301" s="37"/>
      <c r="C301" s="37" t="s">
        <v>650</v>
      </c>
      <c r="D301" s="64">
        <v>18309</v>
      </c>
      <c r="E301" s="38">
        <v>3.56</v>
      </c>
      <c r="F301" s="39">
        <v>9.0943678E-2</v>
      </c>
      <c r="G301" s="38">
        <v>5.9458958999999999E-2</v>
      </c>
      <c r="H301" s="38">
        <v>0.17741768999999999</v>
      </c>
      <c r="I301" s="38">
        <v>0.18988078999999999</v>
      </c>
      <c r="J301" s="38">
        <v>3.5836186999999999E-2</v>
      </c>
      <c r="K301" s="38">
        <v>6.6736979E-3</v>
      </c>
      <c r="L301" s="40">
        <v>0.56021100190000006</v>
      </c>
    </row>
    <row r="302" spans="1:12">
      <c r="A302" s="37" t="s">
        <v>1092</v>
      </c>
      <c r="B302" s="37"/>
      <c r="C302" s="37" t="s">
        <v>650</v>
      </c>
      <c r="D302" s="64">
        <v>18021</v>
      </c>
      <c r="E302" s="38">
        <v>2.97</v>
      </c>
      <c r="F302" s="39">
        <v>4.4520645000000001E-3</v>
      </c>
      <c r="G302" s="38">
        <v>0</v>
      </c>
      <c r="H302" s="38">
        <v>0.1549391</v>
      </c>
      <c r="I302" s="38">
        <v>0.18443184000000001</v>
      </c>
      <c r="J302" s="38">
        <v>3.5836186999999999E-2</v>
      </c>
      <c r="K302" s="38">
        <v>6.6736979E-3</v>
      </c>
      <c r="L302" s="40">
        <v>0.38633288940000005</v>
      </c>
    </row>
    <row r="303" spans="1:12" hidden="1">
      <c r="A303" s="41" t="s">
        <v>1093</v>
      </c>
      <c r="B303" s="41"/>
      <c r="C303" s="41" t="s">
        <v>650</v>
      </c>
      <c r="D303" s="65">
        <v>18058</v>
      </c>
      <c r="E303" s="42">
        <v>2.95</v>
      </c>
      <c r="F303" s="43">
        <v>3.3616049000000002E-2</v>
      </c>
      <c r="G303" s="42">
        <v>2.0337081999999999E-2</v>
      </c>
      <c r="H303" s="42">
        <v>2.6511244E-2</v>
      </c>
      <c r="I303" s="42">
        <v>1.8999042000000001E-2</v>
      </c>
      <c r="J303" s="42">
        <v>2.2937589999999998E-3</v>
      </c>
      <c r="K303" s="42">
        <v>2.7575214000000002E-4</v>
      </c>
      <c r="L303" s="44">
        <v>0.10203292814000001</v>
      </c>
    </row>
    <row r="304" spans="1:12" hidden="1">
      <c r="A304" s="37" t="s">
        <v>1094</v>
      </c>
      <c r="B304" s="37"/>
      <c r="C304" s="37" t="s">
        <v>877</v>
      </c>
      <c r="D304" s="64">
        <v>31091</v>
      </c>
      <c r="E304" s="38">
        <v>2.91</v>
      </c>
      <c r="F304" s="39">
        <v>8.5822707000000005</v>
      </c>
      <c r="G304" s="38">
        <v>0.57571437000000003</v>
      </c>
      <c r="H304" s="38">
        <v>0.10402936</v>
      </c>
      <c r="I304" s="38">
        <v>0.31376546999999999</v>
      </c>
      <c r="J304" s="38">
        <v>1.7263204000000001E-2</v>
      </c>
      <c r="K304" s="38">
        <v>0</v>
      </c>
      <c r="L304" s="40">
        <v>9.5930431040000013</v>
      </c>
    </row>
    <row r="305" spans="1:12" hidden="1">
      <c r="A305" s="41" t="s">
        <v>1095</v>
      </c>
      <c r="B305" s="41"/>
      <c r="C305" s="41" t="s">
        <v>666</v>
      </c>
      <c r="D305" s="65">
        <v>31081</v>
      </c>
      <c r="E305" s="42">
        <v>3.64</v>
      </c>
      <c r="F305" s="43">
        <v>0.89920162999999997</v>
      </c>
      <c r="G305" s="42">
        <v>0.33587512000000003</v>
      </c>
      <c r="H305" s="42">
        <v>0.27079121</v>
      </c>
      <c r="I305" s="42">
        <v>0.19967935000000001</v>
      </c>
      <c r="J305" s="42">
        <v>1.7263204000000001E-2</v>
      </c>
      <c r="K305" s="42">
        <v>0</v>
      </c>
      <c r="L305" s="44">
        <v>1.7228105140000001</v>
      </c>
    </row>
    <row r="306" spans="1:12" hidden="1">
      <c r="A306" s="37" t="s">
        <v>1096</v>
      </c>
      <c r="B306" s="37"/>
      <c r="C306" s="37" t="s">
        <v>666</v>
      </c>
      <c r="D306" s="64">
        <v>31059</v>
      </c>
      <c r="E306" s="38">
        <v>2.35</v>
      </c>
      <c r="F306" s="39">
        <v>0.57316632000000001</v>
      </c>
      <c r="G306" s="38">
        <v>0.67099202000000002</v>
      </c>
      <c r="H306" s="38">
        <v>0.18549789</v>
      </c>
      <c r="I306" s="38">
        <v>0.27163638000000001</v>
      </c>
      <c r="J306" s="38">
        <v>1.7263204000000001E-2</v>
      </c>
      <c r="K306" s="38">
        <v>0</v>
      </c>
      <c r="L306" s="40">
        <v>1.7185558139999999</v>
      </c>
    </row>
    <row r="307" spans="1:12" hidden="1">
      <c r="A307" s="37" t="s">
        <v>1097</v>
      </c>
      <c r="B307" s="37"/>
      <c r="C307" s="37" t="s">
        <v>666</v>
      </c>
      <c r="D307" s="64">
        <v>31060</v>
      </c>
      <c r="E307" s="38">
        <v>2.35</v>
      </c>
      <c r="F307" s="39">
        <v>0.57192016999999995</v>
      </c>
      <c r="G307" s="38">
        <v>0.59527116000000002</v>
      </c>
      <c r="H307" s="38">
        <v>0.18551166999999999</v>
      </c>
      <c r="I307" s="38">
        <v>0.18709575000000001</v>
      </c>
      <c r="J307" s="38">
        <v>1.7263204000000001E-2</v>
      </c>
      <c r="K307" s="38">
        <v>0</v>
      </c>
      <c r="L307" s="40">
        <v>1.5570619540000001</v>
      </c>
    </row>
    <row r="308" spans="1:12" hidden="1">
      <c r="A308" s="37" t="s">
        <v>665</v>
      </c>
      <c r="B308" s="37"/>
      <c r="C308" s="37" t="s">
        <v>666</v>
      </c>
      <c r="D308" s="64">
        <v>31003</v>
      </c>
      <c r="E308" s="38">
        <v>3.64</v>
      </c>
      <c r="F308" s="39">
        <v>0.89920162999999997</v>
      </c>
      <c r="G308" s="38">
        <v>0.33587512000000003</v>
      </c>
      <c r="H308" s="38">
        <v>0.27079121</v>
      </c>
      <c r="I308" s="38">
        <v>0.19967935000000001</v>
      </c>
      <c r="J308" s="38">
        <v>1.7263204000000001E-2</v>
      </c>
      <c r="K308" s="38">
        <v>0</v>
      </c>
      <c r="L308" s="40">
        <v>1.7228105140000001</v>
      </c>
    </row>
    <row r="309" spans="1:12" hidden="1">
      <c r="A309" s="37" t="s">
        <v>1098</v>
      </c>
      <c r="B309" s="37"/>
      <c r="C309" s="37" t="s">
        <v>826</v>
      </c>
      <c r="D309" s="64">
        <v>26101</v>
      </c>
      <c r="E309" s="38">
        <v>3.64</v>
      </c>
      <c r="F309" s="39">
        <v>7.2655989999999999</v>
      </c>
      <c r="G309" s="38">
        <v>0</v>
      </c>
      <c r="H309" s="38">
        <v>0.27530876999999998</v>
      </c>
      <c r="I309" s="38">
        <v>0.78496268999999996</v>
      </c>
      <c r="J309" s="38">
        <v>3.7353873000000003E-2</v>
      </c>
      <c r="K309" s="38">
        <v>6.6736979E-3</v>
      </c>
      <c r="L309" s="40">
        <v>8.3698980309</v>
      </c>
    </row>
    <row r="310" spans="1:12" hidden="1">
      <c r="A310" s="41" t="s">
        <v>1099</v>
      </c>
      <c r="B310" s="41"/>
      <c r="C310" s="41" t="s">
        <v>903</v>
      </c>
      <c r="D310" s="65">
        <v>25412</v>
      </c>
      <c r="E310" s="42">
        <v>2.0699999999999998</v>
      </c>
      <c r="F310" s="43">
        <v>3.1208722999999998</v>
      </c>
      <c r="G310" s="42">
        <v>0.65476855</v>
      </c>
      <c r="H310" s="42">
        <v>0.1040436</v>
      </c>
      <c r="I310" s="42">
        <v>0.44130225000000001</v>
      </c>
      <c r="J310" s="42">
        <v>3.7768032999999999E-2</v>
      </c>
      <c r="K310" s="42">
        <v>9.2564276000000001E-2</v>
      </c>
      <c r="L310" s="44">
        <v>4.4513190089999997</v>
      </c>
    </row>
    <row r="311" spans="1:12" hidden="1">
      <c r="A311" s="41" t="s">
        <v>1100</v>
      </c>
      <c r="B311" s="41"/>
      <c r="C311" s="41" t="s">
        <v>903</v>
      </c>
      <c r="D311" s="65">
        <v>25503</v>
      </c>
      <c r="E311" s="42">
        <v>3.12</v>
      </c>
      <c r="F311" s="43">
        <v>6.3825332000000001</v>
      </c>
      <c r="G311" s="42">
        <v>0.17323485999999999</v>
      </c>
      <c r="H311" s="42">
        <v>0.10406868</v>
      </c>
      <c r="I311" s="42">
        <v>0.87530129999999995</v>
      </c>
      <c r="J311" s="42">
        <v>3.7768032999999999E-2</v>
      </c>
      <c r="K311" s="42">
        <v>9.2564276000000001E-2</v>
      </c>
      <c r="L311" s="44">
        <v>7.6654703490000005</v>
      </c>
    </row>
    <row r="312" spans="1:12" hidden="1">
      <c r="A312" s="37" t="s">
        <v>1101</v>
      </c>
      <c r="B312" s="37"/>
      <c r="C312" s="37" t="s">
        <v>877</v>
      </c>
      <c r="D312" s="64">
        <v>31063</v>
      </c>
      <c r="E312" s="38">
        <v>2.54</v>
      </c>
      <c r="F312" s="39">
        <v>8.5822707000000005</v>
      </c>
      <c r="G312" s="38">
        <v>0.57571437000000003</v>
      </c>
      <c r="H312" s="38">
        <v>0.10402936</v>
      </c>
      <c r="I312" s="38">
        <v>0.31376546999999999</v>
      </c>
      <c r="J312" s="38">
        <v>1.7263204000000001E-2</v>
      </c>
      <c r="K312" s="38">
        <v>0</v>
      </c>
      <c r="L312" s="40">
        <v>9.5930431040000013</v>
      </c>
    </row>
    <row r="313" spans="1:12" hidden="1">
      <c r="A313" s="41" t="s">
        <v>1102</v>
      </c>
      <c r="B313" s="41"/>
      <c r="C313" s="41" t="s">
        <v>1103</v>
      </c>
      <c r="D313" s="65" t="s">
        <v>1104</v>
      </c>
      <c r="E313" s="42">
        <v>1.9639514706612098</v>
      </c>
      <c r="F313" s="43">
        <v>1.6443328E-2</v>
      </c>
      <c r="G313" s="42">
        <v>1.4648085</v>
      </c>
      <c r="H313" s="42">
        <v>0.24437400000000001</v>
      </c>
      <c r="I313" s="42">
        <v>0.22584159000000001</v>
      </c>
      <c r="J313" s="42">
        <v>4.2549891999999999E-2</v>
      </c>
      <c r="K313" s="42">
        <v>8.8930261999999996E-2</v>
      </c>
      <c r="L313" s="44">
        <v>2.0829475720000001</v>
      </c>
    </row>
    <row r="314" spans="1:12" hidden="1">
      <c r="A314" s="41" t="s">
        <v>1105</v>
      </c>
      <c r="B314" s="41"/>
      <c r="C314" s="41" t="s">
        <v>631</v>
      </c>
      <c r="D314" s="65">
        <v>8803</v>
      </c>
      <c r="E314" s="42">
        <v>3.27</v>
      </c>
      <c r="F314" s="43">
        <v>13.697449000000001</v>
      </c>
      <c r="G314" s="42">
        <v>1.0024921</v>
      </c>
      <c r="H314" s="42">
        <v>0.73869434</v>
      </c>
      <c r="I314" s="42">
        <v>0.21885163999999999</v>
      </c>
      <c r="J314" s="42">
        <v>3.7768032999999999E-2</v>
      </c>
      <c r="K314" s="42">
        <v>6.6736979E-3</v>
      </c>
      <c r="L314" s="44">
        <v>15.701928810900002</v>
      </c>
    </row>
    <row r="315" spans="1:12" hidden="1">
      <c r="A315" s="37" t="s">
        <v>1106</v>
      </c>
      <c r="B315" s="37"/>
      <c r="C315" s="37" t="s">
        <v>631</v>
      </c>
      <c r="D315" s="64">
        <v>8703</v>
      </c>
      <c r="E315" s="38">
        <v>2.35</v>
      </c>
      <c r="F315" s="39">
        <v>0.78795541999999996</v>
      </c>
      <c r="G315" s="38">
        <v>0.2182577</v>
      </c>
      <c r="H315" s="38">
        <v>0.27736483000000001</v>
      </c>
      <c r="I315" s="38">
        <v>0.19680718</v>
      </c>
      <c r="J315" s="38">
        <v>3.7768032999999999E-2</v>
      </c>
      <c r="K315" s="38">
        <v>9.2564276000000001E-2</v>
      </c>
      <c r="L315" s="40">
        <v>1.6107174390000001</v>
      </c>
    </row>
    <row r="316" spans="1:12" hidden="1">
      <c r="A316" s="37" t="s">
        <v>1107</v>
      </c>
      <c r="B316" s="37"/>
      <c r="C316" s="37" t="s">
        <v>631</v>
      </c>
      <c r="D316" s="64">
        <v>8704</v>
      </c>
      <c r="E316" s="38">
        <v>2.35</v>
      </c>
      <c r="F316" s="39">
        <v>0.78795541999999996</v>
      </c>
      <c r="G316" s="38">
        <v>0.2182577</v>
      </c>
      <c r="H316" s="38">
        <v>0.27736483000000001</v>
      </c>
      <c r="I316" s="38">
        <v>0.19680718</v>
      </c>
      <c r="J316" s="38">
        <v>3.7768032999999999E-2</v>
      </c>
      <c r="K316" s="38">
        <v>9.2564276000000001E-2</v>
      </c>
      <c r="L316" s="40">
        <v>1.6107174390000001</v>
      </c>
    </row>
    <row r="317" spans="1:12" hidden="1">
      <c r="A317" s="37" t="s">
        <v>1108</v>
      </c>
      <c r="B317" s="37"/>
      <c r="C317" s="37" t="s">
        <v>1109</v>
      </c>
      <c r="D317" s="64">
        <v>25930</v>
      </c>
      <c r="E317" s="38">
        <v>2.1335445985001917</v>
      </c>
      <c r="F317" s="39">
        <v>4.8332007E-3</v>
      </c>
      <c r="G317" s="38">
        <v>3.8655938000000001E-2</v>
      </c>
      <c r="H317" s="38">
        <v>4.7301581000000002E-2</v>
      </c>
      <c r="I317" s="38">
        <v>1.1679348000000001E-2</v>
      </c>
      <c r="J317" s="38">
        <v>3.8113517999999999E-4</v>
      </c>
      <c r="K317" s="38">
        <v>4.0237419000000003E-2</v>
      </c>
      <c r="L317" s="40">
        <v>0.14308862188000002</v>
      </c>
    </row>
    <row r="318" spans="1:12" hidden="1">
      <c r="A318" s="37" t="s">
        <v>1110</v>
      </c>
      <c r="B318" s="37"/>
      <c r="C318" s="37" t="s">
        <v>1109</v>
      </c>
      <c r="D318" s="64">
        <v>25948</v>
      </c>
      <c r="E318" s="38">
        <v>2.11</v>
      </c>
      <c r="F318" s="39">
        <v>1.9605133E-2</v>
      </c>
      <c r="G318" s="38">
        <v>1.1604728999999999E-2</v>
      </c>
      <c r="H318" s="38">
        <v>4.7301581000000002E-2</v>
      </c>
      <c r="I318" s="38">
        <v>1.2865069999999999E-2</v>
      </c>
      <c r="J318" s="38">
        <v>3.8113517999999999E-4</v>
      </c>
      <c r="K318" s="38">
        <v>4.0237419000000003E-2</v>
      </c>
      <c r="L318" s="40">
        <v>0.13199506718000001</v>
      </c>
    </row>
    <row r="319" spans="1:12" hidden="1">
      <c r="A319" s="37" t="s">
        <v>1111</v>
      </c>
      <c r="B319" s="37"/>
      <c r="C319" s="37" t="s">
        <v>1109</v>
      </c>
      <c r="D319" s="64">
        <v>25947</v>
      </c>
      <c r="E319" s="38">
        <v>2.1110549413097774</v>
      </c>
      <c r="F319" s="39">
        <v>1.9588498999999999E-2</v>
      </c>
      <c r="G319" s="38">
        <v>1.3072801E-2</v>
      </c>
      <c r="H319" s="38">
        <v>4.7301581000000002E-2</v>
      </c>
      <c r="I319" s="38">
        <v>1.2908507E-2</v>
      </c>
      <c r="J319" s="38">
        <v>3.8113517999999999E-4</v>
      </c>
      <c r="K319" s="38">
        <v>4.0237419000000003E-2</v>
      </c>
      <c r="L319" s="40">
        <v>0.13348994218000002</v>
      </c>
    </row>
    <row r="320" spans="1:12" hidden="1">
      <c r="A320" s="37" t="s">
        <v>1112</v>
      </c>
      <c r="B320" s="37"/>
      <c r="C320" s="37" t="s">
        <v>623</v>
      </c>
      <c r="D320" s="64">
        <v>32129</v>
      </c>
      <c r="E320" s="38">
        <v>4.03</v>
      </c>
      <c r="F320" s="39">
        <v>2.4106751000000002</v>
      </c>
      <c r="G320" s="38">
        <v>0.53688698999999995</v>
      </c>
      <c r="H320" s="38">
        <v>0.28123298000000002</v>
      </c>
      <c r="I320" s="38">
        <v>0.25408389999999997</v>
      </c>
      <c r="J320" s="38">
        <v>1.9437894000000001E-2</v>
      </c>
      <c r="K320" s="38">
        <v>0</v>
      </c>
      <c r="L320" s="40">
        <v>3.502316864</v>
      </c>
    </row>
    <row r="321" spans="1:12" hidden="1">
      <c r="A321" s="37" t="s">
        <v>1113</v>
      </c>
      <c r="B321" s="37"/>
      <c r="C321" s="37" t="s">
        <v>623</v>
      </c>
      <c r="D321" s="64">
        <v>32133</v>
      </c>
      <c r="E321" s="38">
        <v>4.03</v>
      </c>
      <c r="F321" s="39">
        <v>2.4106751000000002</v>
      </c>
      <c r="G321" s="38">
        <v>0.53688698999999995</v>
      </c>
      <c r="H321" s="38">
        <v>0.28123298000000002</v>
      </c>
      <c r="I321" s="38">
        <v>0.25408389999999997</v>
      </c>
      <c r="J321" s="38">
        <v>1.9437894000000001E-2</v>
      </c>
      <c r="K321" s="38">
        <v>0</v>
      </c>
      <c r="L321" s="40">
        <v>3.502316864</v>
      </c>
    </row>
    <row r="322" spans="1:12" hidden="1">
      <c r="A322" s="37" t="s">
        <v>1114</v>
      </c>
      <c r="B322" s="37"/>
      <c r="C322" s="37" t="s">
        <v>1115</v>
      </c>
      <c r="D322" s="64" t="s">
        <v>1116</v>
      </c>
      <c r="E322" s="38">
        <v>1.9639514706612098</v>
      </c>
      <c r="F322" s="39">
        <v>0.14900917999999999</v>
      </c>
      <c r="G322" s="38">
        <v>1.1752254</v>
      </c>
      <c r="H322" s="38">
        <v>0.23319340999999999</v>
      </c>
      <c r="I322" s="38">
        <v>0.23115393000000001</v>
      </c>
      <c r="J322" s="38">
        <v>4.0598703E-2</v>
      </c>
      <c r="K322" s="38">
        <v>8.8525082000000005E-2</v>
      </c>
      <c r="L322" s="40">
        <v>1.9177057049999999</v>
      </c>
    </row>
    <row r="323" spans="1:12" hidden="1">
      <c r="A323" s="37" t="s">
        <v>1117</v>
      </c>
      <c r="B323" s="37"/>
      <c r="C323" s="37" t="s">
        <v>811</v>
      </c>
      <c r="D323" s="64">
        <v>25211</v>
      </c>
      <c r="E323" s="38">
        <v>2.4300000000000002</v>
      </c>
      <c r="F323" s="39">
        <v>10.567665999999999</v>
      </c>
      <c r="G323" s="38">
        <v>0.23328008</v>
      </c>
      <c r="H323" s="38">
        <v>0.18549789</v>
      </c>
      <c r="I323" s="38">
        <v>0.23475813000000001</v>
      </c>
      <c r="J323" s="38">
        <v>3.7768032999999999E-2</v>
      </c>
      <c r="K323" s="38">
        <v>1.7696322E-2</v>
      </c>
      <c r="L323" s="40">
        <v>11.276666455000001</v>
      </c>
    </row>
    <row r="324" spans="1:12" hidden="1">
      <c r="A324" s="41" t="s">
        <v>1118</v>
      </c>
      <c r="B324" s="41"/>
      <c r="C324" s="41" t="s">
        <v>816</v>
      </c>
      <c r="D324" s="65">
        <v>9690</v>
      </c>
      <c r="E324" s="42">
        <v>3</v>
      </c>
      <c r="F324" s="43">
        <v>0.73765150999999995</v>
      </c>
      <c r="G324" s="42">
        <v>0</v>
      </c>
      <c r="H324" s="42">
        <v>0.26506589000000003</v>
      </c>
      <c r="I324" s="42">
        <v>0.13112868999999999</v>
      </c>
      <c r="J324" s="42">
        <v>1.606076E-2</v>
      </c>
      <c r="K324" s="42">
        <v>0</v>
      </c>
      <c r="L324" s="44">
        <v>1.1499068499999998</v>
      </c>
    </row>
    <row r="325" spans="1:12" hidden="1">
      <c r="A325" s="41" t="s">
        <v>1119</v>
      </c>
      <c r="B325" s="41"/>
      <c r="C325" s="41" t="s">
        <v>816</v>
      </c>
      <c r="D325" s="65">
        <v>9691</v>
      </c>
      <c r="E325" s="42">
        <v>3</v>
      </c>
      <c r="F325" s="43">
        <v>0.32650936000000003</v>
      </c>
      <c r="G325" s="42">
        <v>0</v>
      </c>
      <c r="H325" s="42">
        <v>8.0555266E-2</v>
      </c>
      <c r="I325" s="42">
        <v>5.8041967999999999E-2</v>
      </c>
      <c r="J325" s="42">
        <v>7.1090323999999996E-3</v>
      </c>
      <c r="K325" s="42">
        <v>1.1022624E-2</v>
      </c>
      <c r="L325" s="44">
        <v>0.48323825040000001</v>
      </c>
    </row>
    <row r="326" spans="1:12" hidden="1">
      <c r="A326" s="37" t="s">
        <v>1120</v>
      </c>
      <c r="B326" s="37"/>
      <c r="C326" s="37" t="s">
        <v>826</v>
      </c>
      <c r="D326" s="64">
        <v>26170</v>
      </c>
      <c r="E326" s="38">
        <v>3.64</v>
      </c>
      <c r="F326" s="39">
        <v>11.269168000000001</v>
      </c>
      <c r="G326" s="38">
        <v>0</v>
      </c>
      <c r="H326" s="38">
        <v>0.27530876999999998</v>
      </c>
      <c r="I326" s="38">
        <v>0.99916687000000004</v>
      </c>
      <c r="J326" s="38">
        <v>3.7353873000000003E-2</v>
      </c>
      <c r="K326" s="38">
        <v>6.6736979E-3</v>
      </c>
      <c r="L326" s="40">
        <v>12.587671210900002</v>
      </c>
    </row>
    <row r="327" spans="1:12" hidden="1">
      <c r="A327" s="37" t="s">
        <v>1121</v>
      </c>
      <c r="B327" s="37"/>
      <c r="C327" s="37" t="s">
        <v>631</v>
      </c>
      <c r="D327" s="64">
        <v>28503</v>
      </c>
      <c r="E327" s="38">
        <v>2.5099999999999998</v>
      </c>
      <c r="F327" s="39">
        <v>11.66572</v>
      </c>
      <c r="G327" s="38">
        <v>1.8648773000000001</v>
      </c>
      <c r="H327" s="38">
        <v>9.8968344999999999E-2</v>
      </c>
      <c r="I327" s="38">
        <v>0.22192434</v>
      </c>
      <c r="J327" s="38">
        <v>3.7353873000000003E-2</v>
      </c>
      <c r="K327" s="38">
        <v>6.6736979E-3</v>
      </c>
      <c r="L327" s="40">
        <v>13.8955175559</v>
      </c>
    </row>
    <row r="328" spans="1:12" hidden="1">
      <c r="A328" s="37" t="s">
        <v>1122</v>
      </c>
      <c r="B328" s="37"/>
      <c r="C328" s="37" t="s">
        <v>903</v>
      </c>
      <c r="D328" s="64">
        <v>25559</v>
      </c>
      <c r="E328" s="38">
        <v>2.3199999999999998</v>
      </c>
      <c r="F328" s="39">
        <v>2.2608158</v>
      </c>
      <c r="G328" s="38">
        <v>0.48381323999999998</v>
      </c>
      <c r="H328" s="38">
        <v>0.33764941999999998</v>
      </c>
      <c r="I328" s="38">
        <v>0.26445570000000002</v>
      </c>
      <c r="J328" s="38">
        <v>3.7768032999999999E-2</v>
      </c>
      <c r="K328" s="38">
        <v>9.2564276000000001E-2</v>
      </c>
      <c r="L328" s="40">
        <v>3.4770664689999999</v>
      </c>
    </row>
    <row r="329" spans="1:12" hidden="1">
      <c r="A329" s="37" t="s">
        <v>1123</v>
      </c>
      <c r="B329" s="37"/>
      <c r="C329" s="37" t="s">
        <v>903</v>
      </c>
      <c r="D329" s="64">
        <v>25557</v>
      </c>
      <c r="E329" s="38">
        <v>2.3199999999999998</v>
      </c>
      <c r="F329" s="39">
        <v>2.2608158</v>
      </c>
      <c r="G329" s="38">
        <v>0.48381323999999998</v>
      </c>
      <c r="H329" s="38">
        <v>0.33764941999999998</v>
      </c>
      <c r="I329" s="38">
        <v>0.26445570000000002</v>
      </c>
      <c r="J329" s="38">
        <v>3.7768032999999999E-2</v>
      </c>
      <c r="K329" s="38">
        <v>9.2564276000000001E-2</v>
      </c>
      <c r="L329" s="40">
        <v>3.4770664689999999</v>
      </c>
    </row>
    <row r="330" spans="1:12" hidden="1">
      <c r="A330" s="37" t="s">
        <v>1124</v>
      </c>
      <c r="B330" s="37"/>
      <c r="C330" s="37" t="s">
        <v>903</v>
      </c>
      <c r="D330" s="64">
        <v>25558</v>
      </c>
      <c r="E330" s="38">
        <v>2.3199999999999998</v>
      </c>
      <c r="F330" s="39">
        <v>2.2608158</v>
      </c>
      <c r="G330" s="38">
        <v>0.48381323999999998</v>
      </c>
      <c r="H330" s="38">
        <v>0.33764941999999998</v>
      </c>
      <c r="I330" s="38">
        <v>0.26445570000000002</v>
      </c>
      <c r="J330" s="38">
        <v>3.7768032999999999E-2</v>
      </c>
      <c r="K330" s="38">
        <v>9.2564276000000001E-2</v>
      </c>
      <c r="L330" s="40">
        <v>3.4770664689999999</v>
      </c>
    </row>
    <row r="331" spans="1:12" hidden="1">
      <c r="A331" s="37" t="s">
        <v>1125</v>
      </c>
      <c r="B331" s="37"/>
      <c r="C331" s="37" t="s">
        <v>903</v>
      </c>
      <c r="D331" s="64">
        <v>25438</v>
      </c>
      <c r="E331" s="38">
        <v>2.3199999999999998</v>
      </c>
      <c r="F331" s="39">
        <v>2.2608158</v>
      </c>
      <c r="G331" s="38">
        <v>0.48381323999999998</v>
      </c>
      <c r="H331" s="38">
        <v>0.33764941999999998</v>
      </c>
      <c r="I331" s="38">
        <v>0.26445570000000002</v>
      </c>
      <c r="J331" s="38">
        <v>3.7768032999999999E-2</v>
      </c>
      <c r="K331" s="38">
        <v>9.2564276000000001E-2</v>
      </c>
      <c r="L331" s="40">
        <v>3.4770664689999999</v>
      </c>
    </row>
    <row r="332" spans="1:12" hidden="1">
      <c r="A332" s="37" t="s">
        <v>1126</v>
      </c>
      <c r="B332" s="37"/>
      <c r="C332" s="37" t="s">
        <v>640</v>
      </c>
      <c r="D332" s="64">
        <v>12021</v>
      </c>
      <c r="E332" s="38">
        <v>2.2400000000000002</v>
      </c>
      <c r="F332" s="39">
        <v>4.2658486</v>
      </c>
      <c r="G332" s="38">
        <v>0.27006086000000001</v>
      </c>
      <c r="H332" s="38">
        <v>0.26233268999999998</v>
      </c>
      <c r="I332" s="38">
        <v>0.21100323000000001</v>
      </c>
      <c r="J332" s="38">
        <v>3.5969872999999999E-2</v>
      </c>
      <c r="K332" s="38">
        <v>6.6736979E-3</v>
      </c>
      <c r="L332" s="40">
        <v>5.0518889509000005</v>
      </c>
    </row>
    <row r="333" spans="1:12" hidden="1">
      <c r="A333" s="37" t="s">
        <v>1127</v>
      </c>
      <c r="B333" s="37"/>
      <c r="C333" s="37" t="s">
        <v>640</v>
      </c>
      <c r="D333" s="64">
        <v>12022</v>
      </c>
      <c r="E333" s="38">
        <v>2.2400000000000002</v>
      </c>
      <c r="F333" s="39">
        <v>4.3221505999999996</v>
      </c>
      <c r="G333" s="38">
        <v>0.26693101000000002</v>
      </c>
      <c r="H333" s="38">
        <v>0.26233268999999998</v>
      </c>
      <c r="I333" s="38">
        <v>0.21100323000000001</v>
      </c>
      <c r="J333" s="38">
        <v>3.5969872999999999E-2</v>
      </c>
      <c r="K333" s="38">
        <v>6.6736979E-3</v>
      </c>
      <c r="L333" s="40">
        <v>5.1050611009000004</v>
      </c>
    </row>
    <row r="334" spans="1:12" hidden="1">
      <c r="A334" s="37" t="s">
        <v>1128</v>
      </c>
      <c r="B334" s="37"/>
      <c r="C334" s="37" t="s">
        <v>640</v>
      </c>
      <c r="D334" s="64">
        <v>12020</v>
      </c>
      <c r="E334" s="38">
        <v>2.2400000000000002</v>
      </c>
      <c r="F334" s="39">
        <v>4.4337695000000004</v>
      </c>
      <c r="G334" s="38">
        <v>0.26067131999999998</v>
      </c>
      <c r="H334" s="38">
        <v>0.26233268999999998</v>
      </c>
      <c r="I334" s="38">
        <v>0.21100323000000001</v>
      </c>
      <c r="J334" s="38">
        <v>3.5969872999999999E-2</v>
      </c>
      <c r="K334" s="38">
        <v>6.6736979E-3</v>
      </c>
      <c r="L334" s="40">
        <v>5.2104203109000009</v>
      </c>
    </row>
    <row r="335" spans="1:12" hidden="1">
      <c r="A335" s="37" t="s">
        <v>1129</v>
      </c>
      <c r="B335" s="37"/>
      <c r="C335" s="37" t="s">
        <v>861</v>
      </c>
      <c r="D335" s="64">
        <v>7735</v>
      </c>
      <c r="E335" s="38">
        <v>2.19</v>
      </c>
      <c r="F335" s="39">
        <v>2.9822793000000001</v>
      </c>
      <c r="G335" s="38">
        <v>0.23814178</v>
      </c>
      <c r="H335" s="38">
        <v>0.28123422999999997</v>
      </c>
      <c r="I335" s="38">
        <v>0.15590265</v>
      </c>
      <c r="J335" s="38">
        <v>4.7861880000000002E-3</v>
      </c>
      <c r="K335" s="38">
        <v>0</v>
      </c>
      <c r="L335" s="40">
        <v>3.6623441479999999</v>
      </c>
    </row>
    <row r="336" spans="1:12" hidden="1">
      <c r="A336" s="37" t="s">
        <v>1130</v>
      </c>
      <c r="B336" s="37"/>
      <c r="C336" s="37" t="s">
        <v>861</v>
      </c>
      <c r="D336" s="64">
        <v>7737</v>
      </c>
      <c r="E336" s="38">
        <v>2.4</v>
      </c>
      <c r="F336" s="39">
        <v>4.2702941000000001</v>
      </c>
      <c r="G336" s="38">
        <v>0.2471892</v>
      </c>
      <c r="H336" s="38">
        <v>0.28125834</v>
      </c>
      <c r="I336" s="38">
        <v>0.16567075000000001</v>
      </c>
      <c r="J336" s="38">
        <v>4.7861880000000002E-3</v>
      </c>
      <c r="K336" s="38">
        <v>0</v>
      </c>
      <c r="L336" s="40">
        <v>4.9691985780000003</v>
      </c>
    </row>
    <row r="337" spans="1:12" hidden="1">
      <c r="A337" s="37" t="s">
        <v>1131</v>
      </c>
      <c r="B337" s="37"/>
      <c r="C337" s="37" t="s">
        <v>861</v>
      </c>
      <c r="D337" s="64">
        <v>7738</v>
      </c>
      <c r="E337" s="38">
        <v>3.18</v>
      </c>
      <c r="F337" s="39">
        <v>4.2702941000000001</v>
      </c>
      <c r="G337" s="38">
        <v>0.2471892</v>
      </c>
      <c r="H337" s="38">
        <v>0.28125834</v>
      </c>
      <c r="I337" s="38">
        <v>0.16567075000000001</v>
      </c>
      <c r="J337" s="38">
        <v>4.7861880000000002E-3</v>
      </c>
      <c r="K337" s="38">
        <v>0</v>
      </c>
      <c r="L337" s="40">
        <v>4.9691985780000003</v>
      </c>
    </row>
    <row r="338" spans="1:12" hidden="1">
      <c r="A338" s="37" t="s">
        <v>1132</v>
      </c>
      <c r="B338" s="37"/>
      <c r="C338" s="37" t="s">
        <v>861</v>
      </c>
      <c r="D338" s="64">
        <v>7739</v>
      </c>
      <c r="E338" s="38">
        <v>2.13</v>
      </c>
      <c r="F338" s="39">
        <v>2.0528523000000001</v>
      </c>
      <c r="G338" s="38">
        <v>0.21470067000000001</v>
      </c>
      <c r="H338" s="38">
        <v>0.28124471000000001</v>
      </c>
      <c r="I338" s="38">
        <v>0.1301543</v>
      </c>
      <c r="J338" s="38">
        <v>4.7861880000000002E-3</v>
      </c>
      <c r="K338" s="38">
        <v>0</v>
      </c>
      <c r="L338" s="40">
        <v>2.6837381680000005</v>
      </c>
    </row>
    <row r="339" spans="1:12" hidden="1">
      <c r="A339" s="37" t="s">
        <v>1133</v>
      </c>
      <c r="B339" s="37"/>
      <c r="C339" s="37" t="s">
        <v>861</v>
      </c>
      <c r="D339" s="64">
        <v>7745</v>
      </c>
      <c r="E339" s="38">
        <v>2.13</v>
      </c>
      <c r="F339" s="39">
        <v>2.5812124999999999</v>
      </c>
      <c r="G339" s="38">
        <v>0.34184456000000002</v>
      </c>
      <c r="H339" s="38">
        <v>0.28126630000000002</v>
      </c>
      <c r="I339" s="38">
        <v>0.13114994999999999</v>
      </c>
      <c r="J339" s="38">
        <v>4.7861880000000002E-3</v>
      </c>
      <c r="K339" s="38">
        <v>0</v>
      </c>
      <c r="L339" s="40">
        <v>3.3402594980000004</v>
      </c>
    </row>
    <row r="340" spans="1:12" hidden="1">
      <c r="A340" s="37" t="s">
        <v>1134</v>
      </c>
      <c r="B340" s="37"/>
      <c r="C340" s="37" t="s">
        <v>861</v>
      </c>
      <c r="D340" s="64">
        <v>7742</v>
      </c>
      <c r="E340" s="38">
        <v>2.13</v>
      </c>
      <c r="F340" s="39">
        <v>2.5812124999999999</v>
      </c>
      <c r="G340" s="38">
        <v>0.34184456000000002</v>
      </c>
      <c r="H340" s="38">
        <v>0.28126630000000002</v>
      </c>
      <c r="I340" s="38">
        <v>0.13114994999999999</v>
      </c>
      <c r="J340" s="38">
        <v>4.7861880000000002E-3</v>
      </c>
      <c r="K340" s="38">
        <v>0</v>
      </c>
      <c r="L340" s="40">
        <v>3.3402594980000004</v>
      </c>
    </row>
    <row r="341" spans="1:12" hidden="1">
      <c r="A341" s="37" t="s">
        <v>1135</v>
      </c>
      <c r="B341" s="37"/>
      <c r="C341" s="37" t="s">
        <v>861</v>
      </c>
      <c r="D341" s="64">
        <v>7740</v>
      </c>
      <c r="E341" s="38">
        <v>2.13</v>
      </c>
      <c r="F341" s="39">
        <v>2.5812124999999999</v>
      </c>
      <c r="G341" s="38">
        <v>0.34184456000000002</v>
      </c>
      <c r="H341" s="38">
        <v>0.28126630000000002</v>
      </c>
      <c r="I341" s="38">
        <v>0.13114994999999999</v>
      </c>
      <c r="J341" s="38">
        <v>4.7861880000000002E-3</v>
      </c>
      <c r="K341" s="38">
        <v>0</v>
      </c>
      <c r="L341" s="40">
        <v>3.3402594980000004</v>
      </c>
    </row>
    <row r="342" spans="1:12" hidden="1">
      <c r="A342" s="37" t="s">
        <v>1136</v>
      </c>
      <c r="B342" s="37"/>
      <c r="C342" s="37" t="s">
        <v>861</v>
      </c>
      <c r="D342" s="64">
        <v>7741</v>
      </c>
      <c r="E342" s="38">
        <v>2.34</v>
      </c>
      <c r="F342" s="39">
        <v>2.5812124999999999</v>
      </c>
      <c r="G342" s="38">
        <v>0.34184456000000002</v>
      </c>
      <c r="H342" s="38">
        <v>0.28126630000000002</v>
      </c>
      <c r="I342" s="38">
        <v>0.13114994999999999</v>
      </c>
      <c r="J342" s="38">
        <v>4.7861880000000002E-3</v>
      </c>
      <c r="K342" s="38">
        <v>0</v>
      </c>
      <c r="L342" s="40">
        <v>3.3402594980000004</v>
      </c>
    </row>
    <row r="343" spans="1:12" hidden="1">
      <c r="A343" s="37" t="s">
        <v>1137</v>
      </c>
      <c r="B343" s="37"/>
      <c r="C343" s="37" t="s">
        <v>1005</v>
      </c>
      <c r="D343" s="64">
        <v>25541</v>
      </c>
      <c r="E343" s="38">
        <v>2.8</v>
      </c>
      <c r="F343" s="39">
        <v>49.872242</v>
      </c>
      <c r="G343" s="38">
        <v>0.14638203</v>
      </c>
      <c r="H343" s="38">
        <v>0.34778568999999998</v>
      </c>
      <c r="I343" s="38">
        <v>0.26046981000000002</v>
      </c>
      <c r="J343" s="38">
        <v>4.7187537000000002E-2</v>
      </c>
      <c r="K343" s="38">
        <v>9.4321172999999994E-2</v>
      </c>
      <c r="L343" s="40">
        <v>50.768388239999993</v>
      </c>
    </row>
    <row r="344" spans="1:12" hidden="1">
      <c r="A344" s="37" t="s">
        <v>1138</v>
      </c>
      <c r="B344" s="37"/>
      <c r="C344" s="37" t="s">
        <v>1005</v>
      </c>
      <c r="D344" s="64">
        <v>25505</v>
      </c>
      <c r="E344" s="38">
        <v>2.31</v>
      </c>
      <c r="F344" s="39">
        <v>33.445903000000001</v>
      </c>
      <c r="G344" s="38">
        <v>0.14575869999999999</v>
      </c>
      <c r="H344" s="38">
        <v>0.34778568999999998</v>
      </c>
      <c r="I344" s="38">
        <v>0.25643500000000002</v>
      </c>
      <c r="J344" s="38">
        <v>4.7187537000000002E-2</v>
      </c>
      <c r="K344" s="38">
        <v>9.4321172999999994E-2</v>
      </c>
      <c r="L344" s="40">
        <v>34.337391100000005</v>
      </c>
    </row>
    <row r="345" spans="1:12" hidden="1">
      <c r="A345" s="37" t="s">
        <v>1139</v>
      </c>
      <c r="B345" s="37"/>
      <c r="C345" s="37" t="s">
        <v>811</v>
      </c>
      <c r="D345" s="64">
        <v>25539</v>
      </c>
      <c r="E345" s="38">
        <v>3.76</v>
      </c>
      <c r="F345" s="39">
        <v>11.501694000000001</v>
      </c>
      <c r="G345" s="38">
        <v>0</v>
      </c>
      <c r="H345" s="38">
        <v>0.22650369000000001</v>
      </c>
      <c r="I345" s="38">
        <v>1.4437401999999999</v>
      </c>
      <c r="J345" s="38">
        <v>4.6116958999999999E-2</v>
      </c>
      <c r="K345" s="38">
        <v>9.4039550999999999E-2</v>
      </c>
      <c r="L345" s="40">
        <v>13.312094400000001</v>
      </c>
    </row>
    <row r="346" spans="1:12" hidden="1">
      <c r="A346" s="37" t="s">
        <v>1140</v>
      </c>
      <c r="B346" s="37"/>
      <c r="C346" s="37" t="s">
        <v>1005</v>
      </c>
      <c r="D346" s="64">
        <v>25566</v>
      </c>
      <c r="E346" s="38">
        <v>2.35</v>
      </c>
      <c r="F346" s="39">
        <v>5.4061485999999999</v>
      </c>
      <c r="G346" s="38">
        <v>0.56150518000000005</v>
      </c>
      <c r="H346" s="38">
        <v>0.53342833999999995</v>
      </c>
      <c r="I346" s="38">
        <v>0.24886384</v>
      </c>
      <c r="J346" s="38">
        <v>3.7768032999999999E-2</v>
      </c>
      <c r="K346" s="38">
        <v>6.6736979E-3</v>
      </c>
      <c r="L346" s="40">
        <v>6.7943876908999998</v>
      </c>
    </row>
    <row r="347" spans="1:12" hidden="1">
      <c r="A347" s="41" t="s">
        <v>1141</v>
      </c>
      <c r="B347" s="41"/>
      <c r="C347" s="41" t="s">
        <v>1005</v>
      </c>
      <c r="D347" s="65">
        <v>25504</v>
      </c>
      <c r="E347" s="42">
        <v>2.67</v>
      </c>
      <c r="F347" s="43">
        <v>6.8523363000000002</v>
      </c>
      <c r="G347" s="42">
        <v>1.4273321999999999</v>
      </c>
      <c r="H347" s="42">
        <v>0.36447298</v>
      </c>
      <c r="I347" s="42">
        <v>0.32225175</v>
      </c>
      <c r="J347" s="42">
        <v>4.9451666999999998E-2</v>
      </c>
      <c r="K347" s="42">
        <v>9.4725686000000003E-2</v>
      </c>
      <c r="L347" s="44">
        <v>9.1105705829999994</v>
      </c>
    </row>
    <row r="348" spans="1:12" hidden="1">
      <c r="A348" s="37" t="s">
        <v>1142</v>
      </c>
      <c r="B348" s="37"/>
      <c r="C348" s="37" t="s">
        <v>1005</v>
      </c>
      <c r="D348" s="64">
        <v>25506</v>
      </c>
      <c r="E348" s="38">
        <v>2.82</v>
      </c>
      <c r="F348" s="39">
        <v>5.4061485999999999</v>
      </c>
      <c r="G348" s="38">
        <v>0.56150518000000005</v>
      </c>
      <c r="H348" s="38">
        <v>0.53342833999999995</v>
      </c>
      <c r="I348" s="38">
        <v>0.24886384</v>
      </c>
      <c r="J348" s="38">
        <v>3.7768032999999999E-2</v>
      </c>
      <c r="K348" s="38">
        <v>9.2564276000000001E-2</v>
      </c>
      <c r="L348" s="40">
        <v>6.8802782689999997</v>
      </c>
    </row>
    <row r="349" spans="1:12" hidden="1">
      <c r="A349" s="37" t="s">
        <v>1143</v>
      </c>
      <c r="B349" s="37"/>
      <c r="C349" s="37" t="s">
        <v>842</v>
      </c>
      <c r="D349" s="64">
        <v>20057</v>
      </c>
      <c r="E349" s="38">
        <v>2.4900000000000002</v>
      </c>
      <c r="F349" s="39">
        <v>0.52312820000000004</v>
      </c>
      <c r="G349" s="38">
        <v>0</v>
      </c>
      <c r="H349" s="38">
        <v>0</v>
      </c>
      <c r="I349" s="38">
        <v>0.27356253000000003</v>
      </c>
      <c r="J349" s="38">
        <v>2.5513693E-2</v>
      </c>
      <c r="K349" s="38">
        <v>8.0351048999999994E-2</v>
      </c>
      <c r="L349" s="40">
        <v>0.90255547200000008</v>
      </c>
    </row>
    <row r="350" spans="1:12" hidden="1">
      <c r="A350" s="37" t="s">
        <v>1144</v>
      </c>
      <c r="B350" s="37"/>
      <c r="C350" s="37" t="s">
        <v>842</v>
      </c>
      <c r="D350" s="64">
        <v>20006</v>
      </c>
      <c r="E350" s="38">
        <v>2.95</v>
      </c>
      <c r="F350" s="39">
        <v>0.54321631999999997</v>
      </c>
      <c r="G350" s="38">
        <v>0</v>
      </c>
      <c r="H350" s="38">
        <v>0.24240544999999999</v>
      </c>
      <c r="I350" s="38">
        <v>0.29649297000000002</v>
      </c>
      <c r="J350" s="38">
        <v>2.6493418000000001E-2</v>
      </c>
      <c r="K350" s="38">
        <v>0.17629025000000001</v>
      </c>
      <c r="L350" s="40">
        <v>1.2848984080000001</v>
      </c>
    </row>
    <row r="351" spans="1:12" hidden="1">
      <c r="A351" s="37" t="s">
        <v>1145</v>
      </c>
      <c r="B351" s="37"/>
      <c r="C351" s="37" t="s">
        <v>842</v>
      </c>
      <c r="D351" s="64">
        <v>20259</v>
      </c>
      <c r="E351" s="38">
        <v>2.95</v>
      </c>
      <c r="F351" s="39">
        <v>0.54321631999999997</v>
      </c>
      <c r="G351" s="38">
        <v>0</v>
      </c>
      <c r="H351" s="38">
        <v>0.24240544999999999</v>
      </c>
      <c r="I351" s="38">
        <v>0.29649297000000002</v>
      </c>
      <c r="J351" s="38">
        <v>2.6493418000000001E-2</v>
      </c>
      <c r="K351" s="38">
        <v>9.1373673000000002E-2</v>
      </c>
      <c r="L351" s="40">
        <v>1.1999818310000001</v>
      </c>
    </row>
    <row r="352" spans="1:12" hidden="1">
      <c r="A352" s="37" t="s">
        <v>1146</v>
      </c>
      <c r="B352" s="37"/>
      <c r="C352" s="37" t="s">
        <v>842</v>
      </c>
      <c r="D352" s="64">
        <v>20204</v>
      </c>
      <c r="E352" s="38">
        <v>3</v>
      </c>
      <c r="F352" s="39">
        <v>0.47316944999999999</v>
      </c>
      <c r="G352" s="38">
        <v>0.12037794</v>
      </c>
      <c r="H352" s="38">
        <v>0.26232822</v>
      </c>
      <c r="I352" s="38">
        <v>0.21781585000000001</v>
      </c>
      <c r="J352" s="38">
        <v>6.8654974999999993E-2</v>
      </c>
      <c r="K352" s="38">
        <v>2.5251829999999999E-2</v>
      </c>
      <c r="L352" s="40">
        <v>1.1675982650000001</v>
      </c>
    </row>
    <row r="353" spans="1:12" hidden="1">
      <c r="A353" s="37" t="s">
        <v>1147</v>
      </c>
      <c r="B353" s="37"/>
      <c r="C353" s="37" t="s">
        <v>842</v>
      </c>
      <c r="D353" s="64">
        <v>20205</v>
      </c>
      <c r="E353" s="38">
        <v>3.14</v>
      </c>
      <c r="F353" s="39">
        <v>0.55272250000000001</v>
      </c>
      <c r="G353" s="38">
        <v>0.14061684999999999</v>
      </c>
      <c r="H353" s="38">
        <v>0.30643294999999998</v>
      </c>
      <c r="I353" s="38">
        <v>0.25443680000000002</v>
      </c>
      <c r="J353" s="38">
        <v>8.01978E-2</v>
      </c>
      <c r="K353" s="38">
        <v>0.1240069</v>
      </c>
      <c r="L353" s="40">
        <v>1.4584138000000002</v>
      </c>
    </row>
    <row r="354" spans="1:12" hidden="1">
      <c r="A354" s="37" t="s">
        <v>1148</v>
      </c>
      <c r="B354" s="37"/>
      <c r="C354" s="37" t="s">
        <v>668</v>
      </c>
      <c r="D354" s="64">
        <v>23032</v>
      </c>
      <c r="E354" s="38">
        <v>2.19</v>
      </c>
      <c r="F354" s="39">
        <v>6.3294106000000001</v>
      </c>
      <c r="G354" s="38">
        <v>0.34862378999999999</v>
      </c>
      <c r="H354" s="38">
        <v>0.28779300000000002</v>
      </c>
      <c r="I354" s="38">
        <v>0.20994214</v>
      </c>
      <c r="J354" s="38">
        <v>1.9437894000000001E-2</v>
      </c>
      <c r="K354" s="38">
        <v>0</v>
      </c>
      <c r="L354" s="40">
        <v>7.1952074240000004</v>
      </c>
    </row>
    <row r="355" spans="1:12" hidden="1">
      <c r="A355" s="37" t="s">
        <v>1149</v>
      </c>
      <c r="B355" s="37"/>
      <c r="C355" s="37" t="s">
        <v>668</v>
      </c>
      <c r="D355" s="64">
        <v>23030</v>
      </c>
      <c r="E355" s="38">
        <v>2.19</v>
      </c>
      <c r="F355" s="39">
        <v>6.4782501999999997</v>
      </c>
      <c r="G355" s="38">
        <v>0.37134366000000002</v>
      </c>
      <c r="H355" s="38">
        <v>0.28780042</v>
      </c>
      <c r="I355" s="38">
        <v>0.21909882</v>
      </c>
      <c r="J355" s="38">
        <v>1.9437894000000001E-2</v>
      </c>
      <c r="K355" s="38">
        <v>0</v>
      </c>
      <c r="L355" s="40">
        <v>7.375930994</v>
      </c>
    </row>
    <row r="356" spans="1:12" hidden="1">
      <c r="A356" s="37" t="s">
        <v>1150</v>
      </c>
      <c r="B356" s="37"/>
      <c r="C356" s="37" t="s">
        <v>1151</v>
      </c>
      <c r="D356" s="64">
        <v>39533</v>
      </c>
      <c r="E356" s="38">
        <v>3.08</v>
      </c>
      <c r="F356" s="39">
        <v>1.0539407999999999</v>
      </c>
      <c r="G356" s="38">
        <v>0.21512698</v>
      </c>
      <c r="H356" s="38">
        <v>0.18042667000000001</v>
      </c>
      <c r="I356" s="38">
        <v>0.19674195</v>
      </c>
      <c r="J356" s="38">
        <v>6.5229756E-2</v>
      </c>
      <c r="K356" s="38">
        <v>2.5251829999999999E-2</v>
      </c>
      <c r="L356" s="40">
        <v>1.7367179859999999</v>
      </c>
    </row>
    <row r="357" spans="1:12" hidden="1">
      <c r="A357" s="37" t="s">
        <v>1152</v>
      </c>
      <c r="B357" s="37"/>
      <c r="C357" s="37" t="s">
        <v>674</v>
      </c>
      <c r="D357" s="64">
        <v>25416</v>
      </c>
      <c r="E357" s="38">
        <v>3.39</v>
      </c>
      <c r="F357" s="39">
        <v>4.9642127</v>
      </c>
      <c r="G357" s="38">
        <v>0.16371290999999999</v>
      </c>
      <c r="H357" s="38">
        <v>0.27733664000000002</v>
      </c>
      <c r="I357" s="38">
        <v>0.65395599000000004</v>
      </c>
      <c r="J357" s="38">
        <v>3.7768032999999999E-2</v>
      </c>
      <c r="K357" s="38">
        <v>9.2564276000000001E-2</v>
      </c>
      <c r="L357" s="40">
        <v>6.1895505489999998</v>
      </c>
    </row>
    <row r="358" spans="1:12" hidden="1">
      <c r="A358" s="37" t="s">
        <v>1153</v>
      </c>
      <c r="B358" s="37"/>
      <c r="C358" s="37" t="s">
        <v>674</v>
      </c>
      <c r="D358" s="64">
        <v>25502</v>
      </c>
      <c r="E358" s="38">
        <v>2.42</v>
      </c>
      <c r="F358" s="39">
        <v>3.2502141</v>
      </c>
      <c r="G358" s="38">
        <v>0.7019261</v>
      </c>
      <c r="H358" s="38">
        <v>0.27733664000000002</v>
      </c>
      <c r="I358" s="38">
        <v>0.25546373</v>
      </c>
      <c r="J358" s="38">
        <v>3.7768032999999999E-2</v>
      </c>
      <c r="K358" s="38">
        <v>9.2564276000000001E-2</v>
      </c>
      <c r="L358" s="40">
        <v>4.6152728789999999</v>
      </c>
    </row>
    <row r="359" spans="1:12" hidden="1">
      <c r="A359" s="41" t="s">
        <v>1154</v>
      </c>
      <c r="B359" s="41"/>
      <c r="C359" s="41" t="s">
        <v>674</v>
      </c>
      <c r="D359" s="65">
        <v>25415</v>
      </c>
      <c r="E359" s="42">
        <v>2.2582292994679944</v>
      </c>
      <c r="F359" s="43">
        <v>1.1099087999999999</v>
      </c>
      <c r="G359" s="42">
        <v>0.55318135000000002</v>
      </c>
      <c r="H359" s="42">
        <v>0.27841231999999999</v>
      </c>
      <c r="I359" s="42">
        <v>0.18611522</v>
      </c>
      <c r="J359" s="42">
        <v>3.7768832000000002E-2</v>
      </c>
      <c r="K359" s="42">
        <v>9.2564276000000001E-2</v>
      </c>
      <c r="L359" s="44">
        <v>2.2579507979999995</v>
      </c>
    </row>
    <row r="360" spans="1:12" hidden="1">
      <c r="A360" s="37" t="s">
        <v>1155</v>
      </c>
      <c r="B360" s="37"/>
      <c r="C360" s="37" t="s">
        <v>644</v>
      </c>
      <c r="D360" s="64">
        <v>25459</v>
      </c>
      <c r="E360" s="38">
        <v>1.92</v>
      </c>
      <c r="F360" s="39">
        <v>7.2264710000000001</v>
      </c>
      <c r="G360" s="38">
        <v>0.29690582999999998</v>
      </c>
      <c r="H360" s="38">
        <v>0.1040794</v>
      </c>
      <c r="I360" s="38">
        <v>0.23613286</v>
      </c>
      <c r="J360" s="38">
        <v>3.7768032999999999E-2</v>
      </c>
      <c r="K360" s="38">
        <v>9.2564276000000001E-2</v>
      </c>
      <c r="L360" s="40">
        <v>7.9939213989999995</v>
      </c>
    </row>
    <row r="361" spans="1:12" hidden="1">
      <c r="A361" s="37" t="s">
        <v>1156</v>
      </c>
      <c r="B361" s="37"/>
      <c r="C361" s="37" t="s">
        <v>826</v>
      </c>
      <c r="D361" s="64">
        <v>26043</v>
      </c>
      <c r="E361" s="38">
        <v>3.64</v>
      </c>
      <c r="F361" s="39">
        <v>9.3213296000000003</v>
      </c>
      <c r="G361" s="38">
        <v>0</v>
      </c>
      <c r="H361" s="38">
        <v>0.27530876999999998</v>
      </c>
      <c r="I361" s="38">
        <v>1.1705296999999999</v>
      </c>
      <c r="J361" s="38">
        <v>3.7353873000000003E-2</v>
      </c>
      <c r="K361" s="38">
        <v>6.6736979E-3</v>
      </c>
      <c r="L361" s="40">
        <v>10.811195640900001</v>
      </c>
    </row>
    <row r="362" spans="1:12" hidden="1">
      <c r="A362" s="37" t="s">
        <v>1157</v>
      </c>
      <c r="B362" s="37"/>
      <c r="C362" s="37" t="s">
        <v>873</v>
      </c>
      <c r="D362" s="64">
        <v>26025</v>
      </c>
      <c r="E362" s="38">
        <v>3.52</v>
      </c>
      <c r="F362" s="39">
        <v>11.381883999999999</v>
      </c>
      <c r="G362" s="38">
        <v>0</v>
      </c>
      <c r="H362" s="38">
        <v>0.22504651000000001</v>
      </c>
      <c r="I362" s="38">
        <v>1.4292847</v>
      </c>
      <c r="J362" s="38">
        <v>4.5611246000000001E-2</v>
      </c>
      <c r="K362" s="38">
        <v>9.4039550999999999E-2</v>
      </c>
      <c r="L362" s="40">
        <v>13.175866007</v>
      </c>
    </row>
    <row r="363" spans="1:12" hidden="1">
      <c r="A363" s="37" t="s">
        <v>1158</v>
      </c>
      <c r="B363" s="37"/>
      <c r="C363" s="37" t="s">
        <v>873</v>
      </c>
      <c r="D363" s="64">
        <v>26023</v>
      </c>
      <c r="E363" s="38">
        <v>3.52</v>
      </c>
      <c r="F363" s="39">
        <v>11.381883999999999</v>
      </c>
      <c r="G363" s="38">
        <v>0</v>
      </c>
      <c r="H363" s="38">
        <v>0.22504651000000001</v>
      </c>
      <c r="I363" s="38">
        <v>1.4292847</v>
      </c>
      <c r="J363" s="38">
        <v>4.5611246000000001E-2</v>
      </c>
      <c r="K363" s="38">
        <v>9.4039550999999999E-2</v>
      </c>
      <c r="L363" s="40">
        <v>13.175866007</v>
      </c>
    </row>
    <row r="364" spans="1:12" hidden="1">
      <c r="A364" s="37" t="s">
        <v>1159</v>
      </c>
      <c r="B364" s="37"/>
      <c r="C364" s="37" t="s">
        <v>637</v>
      </c>
      <c r="D364" s="64">
        <v>15001</v>
      </c>
      <c r="E364" s="38">
        <v>3.53</v>
      </c>
      <c r="F364" s="39">
        <v>3.5179081000000001</v>
      </c>
      <c r="G364" s="38">
        <v>0.19366700000000001</v>
      </c>
      <c r="H364" s="38">
        <v>0.26506589000000003</v>
      </c>
      <c r="I364" s="38">
        <v>0.15881372999999999</v>
      </c>
      <c r="J364" s="38">
        <v>2.2656431000000001E-2</v>
      </c>
      <c r="K364" s="38">
        <v>0</v>
      </c>
      <c r="L364" s="40">
        <v>4.1581111509999999</v>
      </c>
    </row>
    <row r="365" spans="1:12" hidden="1">
      <c r="A365" s="37" t="s">
        <v>1160</v>
      </c>
      <c r="B365" s="37"/>
      <c r="C365" s="37" t="s">
        <v>637</v>
      </c>
      <c r="D365" s="64">
        <v>15037</v>
      </c>
      <c r="E365" s="38">
        <v>4.0199999999999996</v>
      </c>
      <c r="F365" s="39">
        <v>3.5179081000000001</v>
      </c>
      <c r="G365" s="38">
        <v>0.19366700000000001</v>
      </c>
      <c r="H365" s="38">
        <v>0.26506589000000003</v>
      </c>
      <c r="I365" s="38">
        <v>0.15881372999999999</v>
      </c>
      <c r="J365" s="38">
        <v>2.2656431000000001E-2</v>
      </c>
      <c r="K365" s="38">
        <v>0</v>
      </c>
      <c r="L365" s="40">
        <v>4.1581111509999999</v>
      </c>
    </row>
    <row r="366" spans="1:12" hidden="1">
      <c r="A366" s="37" t="s">
        <v>1161</v>
      </c>
      <c r="B366" s="37"/>
      <c r="C366" s="37" t="s">
        <v>637</v>
      </c>
      <c r="D366" s="64">
        <v>15002</v>
      </c>
      <c r="E366" s="38">
        <v>4.0199999999999996</v>
      </c>
      <c r="F366" s="39">
        <v>3.5179081000000001</v>
      </c>
      <c r="G366" s="38">
        <v>0.19366700000000001</v>
      </c>
      <c r="H366" s="38">
        <v>0.26506589000000003</v>
      </c>
      <c r="I366" s="38">
        <v>0.15881372999999999</v>
      </c>
      <c r="J366" s="38">
        <v>2.2656431000000001E-2</v>
      </c>
      <c r="K366" s="38">
        <v>0</v>
      </c>
      <c r="L366" s="40">
        <v>4.1581111509999999</v>
      </c>
    </row>
    <row r="367" spans="1:12" hidden="1">
      <c r="A367" s="37" t="s">
        <v>1162</v>
      </c>
      <c r="B367" s="37"/>
      <c r="C367" s="37" t="s">
        <v>623</v>
      </c>
      <c r="D367" s="64">
        <v>38406</v>
      </c>
      <c r="E367" s="38">
        <v>2.97</v>
      </c>
      <c r="F367" s="39">
        <v>2.1835751000000001</v>
      </c>
      <c r="G367" s="38">
        <v>0.58488125000000002</v>
      </c>
      <c r="H367" s="38">
        <v>0.28123130000000002</v>
      </c>
      <c r="I367" s="38">
        <v>0.14433741999999999</v>
      </c>
      <c r="J367" s="38">
        <v>1.9437894000000001E-2</v>
      </c>
      <c r="K367" s="38">
        <v>0</v>
      </c>
      <c r="L367" s="40">
        <v>3.2134629640000001</v>
      </c>
    </row>
    <row r="368" spans="1:12" hidden="1">
      <c r="A368" s="41" t="s">
        <v>1163</v>
      </c>
      <c r="B368" s="41"/>
      <c r="C368" s="41" t="s">
        <v>877</v>
      </c>
      <c r="D368" s="65">
        <v>31042</v>
      </c>
      <c r="E368" s="42">
        <v>3.28</v>
      </c>
      <c r="F368" s="43">
        <v>8.5822707000000005</v>
      </c>
      <c r="G368" s="42">
        <v>0.57571437000000003</v>
      </c>
      <c r="H368" s="42">
        <v>0.10402936</v>
      </c>
      <c r="I368" s="42">
        <v>0.31376546999999999</v>
      </c>
      <c r="J368" s="42">
        <v>1.7263204000000001E-2</v>
      </c>
      <c r="K368" s="42">
        <v>0</v>
      </c>
      <c r="L368" s="44">
        <v>9.5930431040000013</v>
      </c>
    </row>
    <row r="369" spans="1:12" hidden="1">
      <c r="A369" s="37" t="s">
        <v>1164</v>
      </c>
      <c r="B369" s="37"/>
      <c r="C369" s="37" t="s">
        <v>650</v>
      </c>
      <c r="D369" s="64">
        <v>18100</v>
      </c>
      <c r="E369" s="38">
        <v>2.77</v>
      </c>
      <c r="F369" s="39">
        <v>25.929207999999999</v>
      </c>
      <c r="G369" s="38">
        <v>0.21408695999999999</v>
      </c>
      <c r="H369" s="38">
        <v>9.9850469999999997E-2</v>
      </c>
      <c r="I369" s="38">
        <v>0.42756113000000001</v>
      </c>
      <c r="J369" s="38">
        <v>1.5675970000000001E-2</v>
      </c>
      <c r="K369" s="38">
        <v>0</v>
      </c>
      <c r="L369" s="40">
        <v>26.686382529999999</v>
      </c>
    </row>
    <row r="370" spans="1:12" hidden="1">
      <c r="A370" s="37" t="s">
        <v>1165</v>
      </c>
      <c r="B370" s="37"/>
      <c r="C370" s="37" t="s">
        <v>650</v>
      </c>
      <c r="D370" s="64">
        <v>18163</v>
      </c>
      <c r="E370" s="38">
        <v>2.63</v>
      </c>
      <c r="F370" s="39">
        <v>6.9993410999999996</v>
      </c>
      <c r="G370" s="38">
        <v>1.0480693999999999</v>
      </c>
      <c r="H370" s="38">
        <v>9.9850469999999997E-2</v>
      </c>
      <c r="I370" s="38">
        <v>0.18167791</v>
      </c>
      <c r="J370" s="38">
        <v>1.5675970000000001E-2</v>
      </c>
      <c r="K370" s="38">
        <v>0</v>
      </c>
      <c r="L370" s="40">
        <v>8.3446148499999993</v>
      </c>
    </row>
    <row r="371" spans="1:12" hidden="1">
      <c r="A371" s="37" t="s">
        <v>1166</v>
      </c>
      <c r="B371" s="37"/>
      <c r="C371" s="37" t="s">
        <v>650</v>
      </c>
      <c r="D371" s="64">
        <v>18160</v>
      </c>
      <c r="E371" s="38">
        <v>2.63</v>
      </c>
      <c r="F371" s="39">
        <v>6.4200428</v>
      </c>
      <c r="G371" s="38">
        <v>1.0776033</v>
      </c>
      <c r="H371" s="38">
        <v>9.9850469999999997E-2</v>
      </c>
      <c r="I371" s="38">
        <v>0.17407539999999999</v>
      </c>
      <c r="J371" s="38">
        <v>1.5675970000000001E-2</v>
      </c>
      <c r="K371" s="38">
        <v>0</v>
      </c>
      <c r="L371" s="40">
        <v>7.7872479400000003</v>
      </c>
    </row>
    <row r="372" spans="1:12" hidden="1">
      <c r="A372" s="37" t="s">
        <v>1167</v>
      </c>
      <c r="B372" s="37"/>
      <c r="C372" s="37" t="s">
        <v>650</v>
      </c>
      <c r="D372" s="64">
        <v>18151</v>
      </c>
      <c r="E372" s="38">
        <v>3.06</v>
      </c>
      <c r="F372" s="39">
        <v>0.40827156999999997</v>
      </c>
      <c r="G372" s="38">
        <v>6.1133885999999998E-2</v>
      </c>
      <c r="H372" s="38">
        <v>5.8242779E-3</v>
      </c>
      <c r="I372" s="38">
        <v>1.0597272E-2</v>
      </c>
      <c r="J372" s="38">
        <v>9.1437935999999997E-4</v>
      </c>
      <c r="K372" s="38">
        <v>1.1264718999999999E-2</v>
      </c>
      <c r="L372" s="40">
        <v>0.49800610425999992</v>
      </c>
    </row>
    <row r="373" spans="1:12" hidden="1">
      <c r="A373" s="37" t="s">
        <v>1168</v>
      </c>
      <c r="B373" s="37"/>
      <c r="C373" s="37" t="s">
        <v>650</v>
      </c>
      <c r="D373" s="64">
        <v>18072</v>
      </c>
      <c r="E373" s="38">
        <v>3.18</v>
      </c>
      <c r="F373" s="39">
        <v>1.1261953</v>
      </c>
      <c r="G373" s="38">
        <v>0.50415862</v>
      </c>
      <c r="H373" s="38">
        <v>5.8242779E-3</v>
      </c>
      <c r="I373" s="38">
        <v>2.6545637E-2</v>
      </c>
      <c r="J373" s="38">
        <v>9.1437935999999997E-4</v>
      </c>
      <c r="K373" s="38">
        <v>1.1264718999999999E-2</v>
      </c>
      <c r="L373" s="40">
        <v>1.6749029332599998</v>
      </c>
    </row>
    <row r="374" spans="1:12" hidden="1">
      <c r="A374" s="37" t="s">
        <v>1169</v>
      </c>
      <c r="B374" s="37"/>
      <c r="C374" s="37" t="s">
        <v>650</v>
      </c>
      <c r="D374" s="64">
        <v>18070</v>
      </c>
      <c r="E374" s="38">
        <v>3.01</v>
      </c>
      <c r="F374" s="39">
        <v>0.53277699000000001</v>
      </c>
      <c r="G374" s="38">
        <v>7.3145633000000002E-2</v>
      </c>
      <c r="H374" s="38">
        <v>5.8242779E-3</v>
      </c>
      <c r="I374" s="38">
        <v>1.5867933000000001E-2</v>
      </c>
      <c r="J374" s="38">
        <v>9.1437935999999997E-4</v>
      </c>
      <c r="K374" s="38">
        <v>1.1264718999999999E-2</v>
      </c>
      <c r="L374" s="40">
        <v>0.63979393226000003</v>
      </c>
    </row>
    <row r="375" spans="1:12" hidden="1">
      <c r="A375" s="37" t="s">
        <v>1170</v>
      </c>
      <c r="B375" s="37"/>
      <c r="C375" s="37" t="s">
        <v>650</v>
      </c>
      <c r="D375" s="64">
        <v>18071</v>
      </c>
      <c r="E375" s="38">
        <v>3.01</v>
      </c>
      <c r="F375" s="39">
        <v>0.53277699000000001</v>
      </c>
      <c r="G375" s="38">
        <v>2.7576343999999999E-2</v>
      </c>
      <c r="H375" s="38">
        <v>5.8242779E-3</v>
      </c>
      <c r="I375" s="38">
        <v>1.5867933000000001E-2</v>
      </c>
      <c r="J375" s="38">
        <v>9.1437935999999997E-4</v>
      </c>
      <c r="K375" s="38">
        <v>1.1264718999999999E-2</v>
      </c>
      <c r="L375" s="40">
        <v>0.59422464326000002</v>
      </c>
    </row>
    <row r="376" spans="1:12" hidden="1">
      <c r="A376" s="37" t="s">
        <v>1171</v>
      </c>
      <c r="B376" s="37"/>
      <c r="C376" s="37" t="s">
        <v>650</v>
      </c>
      <c r="D376" s="64">
        <v>18069</v>
      </c>
      <c r="E376" s="38">
        <v>3.49</v>
      </c>
      <c r="F376" s="39">
        <v>19.307307999999999</v>
      </c>
      <c r="G376" s="38">
        <v>8.6432131000000005</v>
      </c>
      <c r="H376" s="38">
        <v>9.9850469999999997E-2</v>
      </c>
      <c r="I376" s="38">
        <v>0.45509407000000002</v>
      </c>
      <c r="J376" s="38">
        <v>1.5675970000000001E-2</v>
      </c>
      <c r="K376" s="38">
        <v>0</v>
      </c>
      <c r="L376" s="40">
        <v>28.521141610000001</v>
      </c>
    </row>
    <row r="377" spans="1:12" hidden="1">
      <c r="A377" s="37" t="s">
        <v>1172</v>
      </c>
      <c r="B377" s="37"/>
      <c r="C377" s="37" t="s">
        <v>650</v>
      </c>
      <c r="D377" s="64">
        <v>18073</v>
      </c>
      <c r="E377" s="38">
        <v>3.18</v>
      </c>
      <c r="F377" s="39">
        <v>1.1261953</v>
      </c>
      <c r="G377" s="38">
        <v>0.40783329000000001</v>
      </c>
      <c r="H377" s="38">
        <v>5.8242779E-3</v>
      </c>
      <c r="I377" s="38">
        <v>2.6545637E-2</v>
      </c>
      <c r="J377" s="38">
        <v>9.1437935999999997E-4</v>
      </c>
      <c r="K377" s="38">
        <v>1.1264718999999999E-2</v>
      </c>
      <c r="L377" s="40">
        <v>1.5785776032599999</v>
      </c>
    </row>
    <row r="378" spans="1:12" hidden="1">
      <c r="A378" s="37" t="s">
        <v>649</v>
      </c>
      <c r="B378" s="37"/>
      <c r="C378" s="37" t="s">
        <v>650</v>
      </c>
      <c r="D378" s="64">
        <v>18003</v>
      </c>
      <c r="E378" s="38">
        <v>3.02</v>
      </c>
      <c r="F378" s="39">
        <v>9.1338418000000008</v>
      </c>
      <c r="G378" s="38">
        <v>0.47276435</v>
      </c>
      <c r="H378" s="38">
        <v>9.9850469999999997E-2</v>
      </c>
      <c r="I378" s="38">
        <v>0.27203726</v>
      </c>
      <c r="J378" s="38">
        <v>1.5675970000000001E-2</v>
      </c>
      <c r="K378" s="38">
        <v>0</v>
      </c>
      <c r="L378" s="40">
        <v>9.9941698500000005</v>
      </c>
    </row>
    <row r="379" spans="1:12" hidden="1">
      <c r="A379" s="37" t="s">
        <v>1173</v>
      </c>
      <c r="B379" s="37"/>
      <c r="C379" s="37" t="s">
        <v>650</v>
      </c>
      <c r="D379" s="64">
        <v>18004</v>
      </c>
      <c r="E379" s="38">
        <v>3.01</v>
      </c>
      <c r="F379" s="39">
        <v>0.53277699000000001</v>
      </c>
      <c r="G379" s="38">
        <v>2.7576343999999999E-2</v>
      </c>
      <c r="H379" s="38">
        <v>5.8242779E-3</v>
      </c>
      <c r="I379" s="38">
        <v>1.5867933000000001E-2</v>
      </c>
      <c r="J379" s="38">
        <v>9.1437935999999997E-4</v>
      </c>
      <c r="K379" s="38">
        <v>1.1264718999999999E-2</v>
      </c>
      <c r="L379" s="40">
        <v>0.59422464326000002</v>
      </c>
    </row>
    <row r="380" spans="1:12" hidden="1">
      <c r="A380" s="37" t="s">
        <v>1174</v>
      </c>
      <c r="B380" s="37"/>
      <c r="C380" s="37" t="s">
        <v>650</v>
      </c>
      <c r="D380" s="64">
        <v>18005</v>
      </c>
      <c r="E380" s="38">
        <v>3.49</v>
      </c>
      <c r="F380" s="39">
        <v>19.307307999999999</v>
      </c>
      <c r="G380" s="38">
        <v>6.9918274</v>
      </c>
      <c r="H380" s="38">
        <v>9.9850469999999997E-2</v>
      </c>
      <c r="I380" s="38">
        <v>0.45509407000000002</v>
      </c>
      <c r="J380" s="38">
        <v>1.5675970000000001E-2</v>
      </c>
      <c r="K380" s="38">
        <v>0</v>
      </c>
      <c r="L380" s="40">
        <v>26.869755909999999</v>
      </c>
    </row>
    <row r="381" spans="1:12" hidden="1">
      <c r="A381" s="41" t="s">
        <v>1175</v>
      </c>
      <c r="B381" s="41"/>
      <c r="C381" s="41" t="s">
        <v>786</v>
      </c>
      <c r="D381" s="65">
        <v>36102</v>
      </c>
      <c r="E381" s="42">
        <v>3.11</v>
      </c>
      <c r="F381" s="43">
        <v>6.8523363000000002</v>
      </c>
      <c r="G381" s="42">
        <v>1.3618992999999999</v>
      </c>
      <c r="H381" s="42">
        <v>0.45559123000000001</v>
      </c>
      <c r="I381" s="42">
        <v>0.38472577000000002</v>
      </c>
      <c r="J381" s="42">
        <v>6.1814583999999999E-2</v>
      </c>
      <c r="K381" s="42">
        <v>0.20330878999999999</v>
      </c>
      <c r="L381" s="44">
        <v>9.319675973999999</v>
      </c>
    </row>
    <row r="382" spans="1:12" hidden="1">
      <c r="A382" s="37" t="s">
        <v>1176</v>
      </c>
      <c r="B382" s="37"/>
      <c r="C382" s="37" t="s">
        <v>668</v>
      </c>
      <c r="D382" s="64">
        <v>23909</v>
      </c>
      <c r="E382" s="38">
        <v>2.13</v>
      </c>
      <c r="F382" s="39">
        <v>1.8386296</v>
      </c>
      <c r="G382" s="38">
        <v>0.21415698</v>
      </c>
      <c r="H382" s="38">
        <v>0.28122353999999999</v>
      </c>
      <c r="I382" s="38">
        <v>0.13741772999999999</v>
      </c>
      <c r="J382" s="38">
        <v>1.9437894000000001E-2</v>
      </c>
      <c r="K382" s="38">
        <v>0</v>
      </c>
      <c r="L382" s="40">
        <v>2.4908657440000002</v>
      </c>
    </row>
    <row r="383" spans="1:12" hidden="1">
      <c r="A383" s="41" t="s">
        <v>1177</v>
      </c>
      <c r="B383" s="41"/>
      <c r="C383" s="41" t="s">
        <v>903</v>
      </c>
      <c r="D383" s="65">
        <v>7814</v>
      </c>
      <c r="E383" s="42">
        <v>1.91</v>
      </c>
      <c r="F383" s="43">
        <v>2.9277983999999999</v>
      </c>
      <c r="G383" s="42">
        <v>0.34056292999999999</v>
      </c>
      <c r="H383" s="42">
        <v>0.22089861</v>
      </c>
      <c r="I383" s="42">
        <v>0.22893822999999999</v>
      </c>
      <c r="J383" s="42">
        <v>3.7768032999999999E-2</v>
      </c>
      <c r="K383" s="42">
        <v>9.2564276000000001E-2</v>
      </c>
      <c r="L383" s="44">
        <v>3.8485304789999994</v>
      </c>
    </row>
    <row r="384" spans="1:12" hidden="1">
      <c r="A384" s="37" t="s">
        <v>1178</v>
      </c>
      <c r="B384" s="37"/>
      <c r="C384" s="37" t="s">
        <v>666</v>
      </c>
      <c r="D384" s="64">
        <v>31092</v>
      </c>
      <c r="E384" s="38">
        <v>3.63</v>
      </c>
      <c r="F384" s="39">
        <v>0.17551384</v>
      </c>
      <c r="G384" s="38">
        <v>0.24286019</v>
      </c>
      <c r="H384" s="38">
        <v>0.27079121</v>
      </c>
      <c r="I384" s="38">
        <v>0.12520486</v>
      </c>
      <c r="J384" s="38">
        <v>1.7263204000000001E-2</v>
      </c>
      <c r="K384" s="38">
        <v>0</v>
      </c>
      <c r="L384" s="40">
        <v>0.83163330400000002</v>
      </c>
    </row>
    <row r="385" spans="1:12" hidden="1">
      <c r="A385" s="41" t="s">
        <v>1179</v>
      </c>
      <c r="B385" s="41"/>
      <c r="C385" s="41" t="s">
        <v>782</v>
      </c>
      <c r="D385" s="65">
        <v>10002</v>
      </c>
      <c r="E385" s="42">
        <v>3.64</v>
      </c>
      <c r="F385" s="43">
        <v>4.2815677000000001</v>
      </c>
      <c r="G385" s="42">
        <v>0</v>
      </c>
      <c r="H385" s="42">
        <v>0.27727707000000001</v>
      </c>
      <c r="I385" s="42">
        <v>0.6412215</v>
      </c>
      <c r="J385" s="42">
        <v>3.7768032999999999E-2</v>
      </c>
      <c r="K385" s="42">
        <v>6.6736979E-3</v>
      </c>
      <c r="L385" s="44">
        <v>5.2445080009000007</v>
      </c>
    </row>
    <row r="386" spans="1:12" hidden="1">
      <c r="A386" s="41" t="s">
        <v>1180</v>
      </c>
      <c r="B386" s="41"/>
      <c r="C386" s="41" t="s">
        <v>1181</v>
      </c>
      <c r="D386" s="65">
        <v>10037</v>
      </c>
      <c r="E386" s="42">
        <v>3.52</v>
      </c>
      <c r="F386" s="43">
        <v>5.1735838000000003</v>
      </c>
      <c r="G386" s="42">
        <v>0</v>
      </c>
      <c r="H386" s="42">
        <v>0.33616797999999998</v>
      </c>
      <c r="I386" s="42">
        <v>0.77539619999999998</v>
      </c>
      <c r="J386" s="42">
        <v>4.5611246000000001E-2</v>
      </c>
      <c r="K386" s="42">
        <v>0.20318655999999999</v>
      </c>
      <c r="L386" s="44">
        <v>6.5339457860000003</v>
      </c>
    </row>
    <row r="387" spans="1:12" hidden="1">
      <c r="A387" s="41" t="s">
        <v>1182</v>
      </c>
      <c r="B387" s="41"/>
      <c r="C387" s="41" t="s">
        <v>1183</v>
      </c>
      <c r="D387" s="65">
        <v>10001</v>
      </c>
      <c r="E387" s="42">
        <v>3.64</v>
      </c>
      <c r="F387" s="43">
        <v>4.2369680000000001</v>
      </c>
      <c r="G387" s="42">
        <v>0</v>
      </c>
      <c r="H387" s="42">
        <v>0.38325627000000001</v>
      </c>
      <c r="I387" s="42">
        <v>0.63520136000000005</v>
      </c>
      <c r="J387" s="42">
        <v>3.7353873000000003E-2</v>
      </c>
      <c r="K387" s="42">
        <v>0.40765779000000002</v>
      </c>
      <c r="L387" s="44">
        <v>5.7004372930000002</v>
      </c>
    </row>
    <row r="388" spans="1:12" hidden="1">
      <c r="A388" s="41" t="s">
        <v>1184</v>
      </c>
      <c r="B388" s="41"/>
      <c r="C388" s="41" t="s">
        <v>1181</v>
      </c>
      <c r="D388" s="65">
        <v>10084</v>
      </c>
      <c r="E388" s="42">
        <v>3.52</v>
      </c>
      <c r="F388" s="43">
        <v>5.1853560999999999</v>
      </c>
      <c r="G388" s="42">
        <v>1.2618731E-3</v>
      </c>
      <c r="H388" s="42">
        <v>0.33605898000000001</v>
      </c>
      <c r="I388" s="42">
        <v>0.77613622000000004</v>
      </c>
      <c r="J388" s="42">
        <v>4.5611246000000001E-2</v>
      </c>
      <c r="K388" s="42">
        <v>0.11549598</v>
      </c>
      <c r="L388" s="44">
        <v>6.4599203990999996</v>
      </c>
    </row>
    <row r="389" spans="1:12" hidden="1">
      <c r="A389" s="37" t="s">
        <v>1185</v>
      </c>
      <c r="B389" s="37"/>
      <c r="C389" s="37" t="s">
        <v>640</v>
      </c>
      <c r="D389" s="64">
        <v>12006</v>
      </c>
      <c r="E389" s="38">
        <v>2.2400000000000002</v>
      </c>
      <c r="F389" s="39">
        <v>4.3992088999999996</v>
      </c>
      <c r="G389" s="38">
        <v>0.26245981000000002</v>
      </c>
      <c r="H389" s="38">
        <v>0.26233268999999998</v>
      </c>
      <c r="I389" s="38">
        <v>0.21100323000000001</v>
      </c>
      <c r="J389" s="38">
        <v>3.5969872999999999E-2</v>
      </c>
      <c r="K389" s="38">
        <v>6.6736979E-3</v>
      </c>
      <c r="L389" s="40">
        <v>5.1776482009000002</v>
      </c>
    </row>
    <row r="390" spans="1:12" hidden="1">
      <c r="A390" s="37" t="s">
        <v>1186</v>
      </c>
      <c r="B390" s="37"/>
      <c r="C390" s="37" t="s">
        <v>640</v>
      </c>
      <c r="D390" s="64">
        <v>12001</v>
      </c>
      <c r="E390" s="38">
        <v>1.81</v>
      </c>
      <c r="F390" s="39">
        <v>4.3992088999999996</v>
      </c>
      <c r="G390" s="38">
        <v>0.26245981000000002</v>
      </c>
      <c r="H390" s="38">
        <v>0.26233268999999998</v>
      </c>
      <c r="I390" s="38">
        <v>0.21100323000000001</v>
      </c>
      <c r="J390" s="38">
        <v>3.5969872999999999E-2</v>
      </c>
      <c r="K390" s="38">
        <v>6.6736979E-3</v>
      </c>
      <c r="L390" s="40">
        <v>5.1776482009000002</v>
      </c>
    </row>
    <row r="391" spans="1:12" hidden="1">
      <c r="A391" s="37" t="s">
        <v>1187</v>
      </c>
      <c r="B391" s="37"/>
      <c r="C391" s="37" t="s">
        <v>811</v>
      </c>
      <c r="D391" s="64">
        <v>25058</v>
      </c>
      <c r="E391" s="38">
        <v>2.4700000000000002</v>
      </c>
      <c r="F391" s="39">
        <v>4.6784094999999999</v>
      </c>
      <c r="G391" s="38">
        <v>1.1386152</v>
      </c>
      <c r="H391" s="38">
        <v>0.18550099</v>
      </c>
      <c r="I391" s="38">
        <v>0.30690362999999998</v>
      </c>
      <c r="J391" s="38">
        <v>3.7768032999999999E-2</v>
      </c>
      <c r="K391" s="38">
        <v>1.7696322E-2</v>
      </c>
      <c r="L391" s="40">
        <v>6.3648936750000003</v>
      </c>
    </row>
    <row r="392" spans="1:12" hidden="1">
      <c r="A392" s="37" t="s">
        <v>1188</v>
      </c>
      <c r="B392" s="37"/>
      <c r="C392" s="37" t="s">
        <v>788</v>
      </c>
      <c r="D392" s="64">
        <v>36203</v>
      </c>
      <c r="E392" s="38">
        <v>3.11</v>
      </c>
      <c r="F392" s="39">
        <v>5.1759893000000003</v>
      </c>
      <c r="G392" s="38">
        <v>1.028726</v>
      </c>
      <c r="H392" s="38">
        <v>0.34413596000000002</v>
      </c>
      <c r="I392" s="38">
        <v>0.29060693999999998</v>
      </c>
      <c r="J392" s="38">
        <v>4.6692341999999998E-2</v>
      </c>
      <c r="K392" s="38">
        <v>8.8693171000000001E-2</v>
      </c>
      <c r="L392" s="40">
        <v>6.9748437130000003</v>
      </c>
    </row>
    <row r="393" spans="1:12" hidden="1">
      <c r="A393" s="37" t="s">
        <v>1189</v>
      </c>
      <c r="B393" s="37"/>
      <c r="C393" s="37" t="s">
        <v>631</v>
      </c>
      <c r="D393" s="64">
        <v>8111</v>
      </c>
      <c r="E393" s="38">
        <v>3.11</v>
      </c>
      <c r="F393" s="39">
        <v>6.8523363000000002</v>
      </c>
      <c r="G393" s="38">
        <v>1.4273321999999999</v>
      </c>
      <c r="H393" s="38">
        <v>0.36447298</v>
      </c>
      <c r="I393" s="38">
        <v>0.32402023000000002</v>
      </c>
      <c r="J393" s="38">
        <v>4.9451666999999998E-2</v>
      </c>
      <c r="K393" s="38">
        <v>0.55718924999999997</v>
      </c>
      <c r="L393" s="40">
        <v>9.5748026270000004</v>
      </c>
    </row>
    <row r="394" spans="1:12" hidden="1">
      <c r="A394" s="37" t="s">
        <v>1190</v>
      </c>
      <c r="B394" s="37"/>
      <c r="C394" s="37" t="s">
        <v>788</v>
      </c>
      <c r="D394" s="64">
        <v>36206</v>
      </c>
      <c r="E394" s="38">
        <v>3.11</v>
      </c>
      <c r="F394" s="39">
        <v>6.8523363000000002</v>
      </c>
      <c r="G394" s="38">
        <v>1.4273321999999999</v>
      </c>
      <c r="H394" s="38">
        <v>0.36447298</v>
      </c>
      <c r="I394" s="38">
        <v>0.32225175</v>
      </c>
      <c r="J394" s="38">
        <v>4.9451666999999998E-2</v>
      </c>
      <c r="K394" s="38">
        <v>9.4725686000000003E-2</v>
      </c>
      <c r="L394" s="40">
        <v>9.1105705829999994</v>
      </c>
    </row>
    <row r="395" spans="1:12" hidden="1">
      <c r="A395" s="37" t="s">
        <v>1191</v>
      </c>
      <c r="B395" s="37"/>
      <c r="C395" s="37" t="s">
        <v>786</v>
      </c>
      <c r="D395" s="64">
        <v>36205</v>
      </c>
      <c r="E395" s="38">
        <v>3.11</v>
      </c>
      <c r="F395" s="39">
        <v>6.8523363000000002</v>
      </c>
      <c r="G395" s="38">
        <v>1.4273321999999999</v>
      </c>
      <c r="H395" s="38">
        <v>0.36447298</v>
      </c>
      <c r="I395" s="38">
        <v>0.32225175</v>
      </c>
      <c r="J395" s="38">
        <v>4.9451666999999998E-2</v>
      </c>
      <c r="K395" s="38">
        <v>9.4725686000000003E-2</v>
      </c>
      <c r="L395" s="40">
        <v>9.1105705829999994</v>
      </c>
    </row>
    <row r="396" spans="1:12" hidden="1">
      <c r="A396" s="37" t="s">
        <v>1192</v>
      </c>
      <c r="B396" s="37"/>
      <c r="C396" s="37" t="s">
        <v>788</v>
      </c>
      <c r="D396" s="64">
        <v>36204</v>
      </c>
      <c r="E396" s="38">
        <v>3.11</v>
      </c>
      <c r="F396" s="39">
        <v>5.1759893000000003</v>
      </c>
      <c r="G396" s="38">
        <v>1.028726</v>
      </c>
      <c r="H396" s="38">
        <v>0.34413596000000002</v>
      </c>
      <c r="I396" s="38">
        <v>0.29060693999999998</v>
      </c>
      <c r="J396" s="38">
        <v>4.6692341999999998E-2</v>
      </c>
      <c r="K396" s="38">
        <v>8.8693171000000001E-2</v>
      </c>
      <c r="L396" s="40">
        <v>6.9748437130000003</v>
      </c>
    </row>
    <row r="397" spans="1:12" hidden="1">
      <c r="A397" s="37" t="s">
        <v>1193</v>
      </c>
      <c r="B397" s="37"/>
      <c r="C397" s="37" t="s">
        <v>786</v>
      </c>
      <c r="D397" s="64">
        <v>36200</v>
      </c>
      <c r="E397" s="38">
        <v>2.67</v>
      </c>
      <c r="F397" s="39">
        <v>6.8523363000000002</v>
      </c>
      <c r="G397" s="38">
        <v>1.3618992999999999</v>
      </c>
      <c r="H397" s="38">
        <v>0.45559123000000001</v>
      </c>
      <c r="I397" s="38">
        <v>0.38472577000000002</v>
      </c>
      <c r="J397" s="38">
        <v>6.1814583999999999E-2</v>
      </c>
      <c r="K397" s="38">
        <v>0.20330878999999999</v>
      </c>
      <c r="L397" s="40">
        <v>9.319675973999999</v>
      </c>
    </row>
    <row r="398" spans="1:12" hidden="1">
      <c r="A398" s="37" t="s">
        <v>1194</v>
      </c>
      <c r="B398" s="37"/>
      <c r="C398" s="37" t="s">
        <v>788</v>
      </c>
      <c r="D398" s="64">
        <v>36201</v>
      </c>
      <c r="E398" s="38">
        <v>3.11</v>
      </c>
      <c r="F398" s="39">
        <v>5.1759893000000003</v>
      </c>
      <c r="G398" s="38">
        <v>1.028726</v>
      </c>
      <c r="H398" s="38">
        <v>0.34413596000000002</v>
      </c>
      <c r="I398" s="38">
        <v>0.29060693999999998</v>
      </c>
      <c r="J398" s="38">
        <v>4.6692341999999998E-2</v>
      </c>
      <c r="K398" s="38">
        <v>8.8693171000000001E-2</v>
      </c>
      <c r="L398" s="40">
        <v>6.9748437130000003</v>
      </c>
    </row>
    <row r="399" spans="1:12" hidden="1">
      <c r="A399" s="37" t="s">
        <v>1195</v>
      </c>
      <c r="B399" s="37"/>
      <c r="C399" s="37" t="s">
        <v>786</v>
      </c>
      <c r="D399" s="64">
        <v>36202</v>
      </c>
      <c r="E399" s="38">
        <v>2.67</v>
      </c>
      <c r="F399" s="39">
        <v>6.8523363000000002</v>
      </c>
      <c r="G399" s="38">
        <v>1.3618992999999999</v>
      </c>
      <c r="H399" s="38">
        <v>0.45559123000000001</v>
      </c>
      <c r="I399" s="38">
        <v>0.38472577000000002</v>
      </c>
      <c r="J399" s="38">
        <v>6.1814583999999999E-2</v>
      </c>
      <c r="K399" s="38">
        <v>0.20330878999999999</v>
      </c>
      <c r="L399" s="40">
        <v>9.319675973999999</v>
      </c>
    </row>
    <row r="400" spans="1:12" hidden="1">
      <c r="A400" s="37" t="s">
        <v>1196</v>
      </c>
      <c r="B400" s="37"/>
      <c r="C400" s="37" t="s">
        <v>668</v>
      </c>
      <c r="D400" s="64">
        <v>23022</v>
      </c>
      <c r="E400" s="38">
        <v>2.13</v>
      </c>
      <c r="F400" s="39">
        <v>1.291593</v>
      </c>
      <c r="G400" s="38">
        <v>0.21477423000000001</v>
      </c>
      <c r="H400" s="38">
        <v>0.28780001</v>
      </c>
      <c r="I400" s="38">
        <v>0.13013453</v>
      </c>
      <c r="J400" s="38">
        <v>1.9437894000000001E-2</v>
      </c>
      <c r="K400" s="38">
        <v>0</v>
      </c>
      <c r="L400" s="40">
        <v>1.943739664</v>
      </c>
    </row>
    <row r="401" spans="1:12" hidden="1">
      <c r="A401" s="37" t="s">
        <v>1197</v>
      </c>
      <c r="B401" s="37"/>
      <c r="C401" s="37" t="s">
        <v>634</v>
      </c>
      <c r="D401" s="64">
        <v>13113</v>
      </c>
      <c r="E401" s="38">
        <v>2.68</v>
      </c>
      <c r="F401" s="39">
        <v>0.96960983999999995</v>
      </c>
      <c r="G401" s="38">
        <v>0</v>
      </c>
      <c r="H401" s="38">
        <v>0</v>
      </c>
      <c r="I401" s="38">
        <v>0.47777892</v>
      </c>
      <c r="J401" s="38">
        <v>1.5591117999999999E-2</v>
      </c>
      <c r="K401" s="38">
        <v>8.0351048999999994E-2</v>
      </c>
      <c r="L401" s="40">
        <v>1.5433309269999997</v>
      </c>
    </row>
    <row r="402" spans="1:12" hidden="1">
      <c r="A402" s="37" t="s">
        <v>1198</v>
      </c>
      <c r="B402" s="37"/>
      <c r="C402" s="37" t="s">
        <v>1199</v>
      </c>
      <c r="D402" s="64">
        <v>11025</v>
      </c>
      <c r="E402" s="38">
        <v>3.37</v>
      </c>
      <c r="F402" s="39">
        <v>6.8743721000000004</v>
      </c>
      <c r="G402" s="38">
        <v>0.44480792000000002</v>
      </c>
      <c r="H402" s="38">
        <v>0.47782284000000003</v>
      </c>
      <c r="I402" s="38">
        <v>0.33418850999999999</v>
      </c>
      <c r="J402" s="38">
        <v>1.5675970000000001E-2</v>
      </c>
      <c r="K402" s="38">
        <v>0</v>
      </c>
      <c r="L402" s="40">
        <v>8.14686734</v>
      </c>
    </row>
    <row r="403" spans="1:12" hidden="1">
      <c r="A403" s="37" t="s">
        <v>1200</v>
      </c>
      <c r="B403" s="37"/>
      <c r="C403" s="37" t="s">
        <v>640</v>
      </c>
      <c r="D403" s="64">
        <v>12722</v>
      </c>
      <c r="E403" s="38">
        <v>2.2400000000000002</v>
      </c>
      <c r="F403" s="39">
        <v>4.9064475999999999</v>
      </c>
      <c r="G403" s="38">
        <v>0.42120422000000002</v>
      </c>
      <c r="H403" s="38">
        <v>0.26233268999999998</v>
      </c>
      <c r="I403" s="38">
        <v>0.21100323000000001</v>
      </c>
      <c r="J403" s="38">
        <v>3.5969872999999999E-2</v>
      </c>
      <c r="K403" s="38">
        <v>6.6736979E-3</v>
      </c>
      <c r="L403" s="40">
        <v>5.8436313109000002</v>
      </c>
    </row>
    <row r="404" spans="1:12" hidden="1">
      <c r="A404" s="37" t="s">
        <v>1201</v>
      </c>
      <c r="B404" s="37"/>
      <c r="C404" s="37" t="s">
        <v>640</v>
      </c>
      <c r="D404" s="64">
        <v>12723</v>
      </c>
      <c r="E404" s="38">
        <v>2.2400000000000002</v>
      </c>
      <c r="F404" s="39">
        <v>4.9885869999999999</v>
      </c>
      <c r="G404" s="38">
        <v>0.41331649999999998</v>
      </c>
      <c r="H404" s="38">
        <v>0.26233268999999998</v>
      </c>
      <c r="I404" s="38">
        <v>0.21100323000000001</v>
      </c>
      <c r="J404" s="38">
        <v>3.5969872999999999E-2</v>
      </c>
      <c r="K404" s="38">
        <v>6.6736979E-3</v>
      </c>
      <c r="L404" s="40">
        <v>5.9178829908999999</v>
      </c>
    </row>
    <row r="405" spans="1:12" hidden="1">
      <c r="A405" s="37" t="s">
        <v>1202</v>
      </c>
      <c r="B405" s="37"/>
      <c r="C405" s="37" t="s">
        <v>826</v>
      </c>
      <c r="D405" s="64">
        <v>26108</v>
      </c>
      <c r="E405" s="38">
        <v>3.68</v>
      </c>
      <c r="F405" s="39">
        <v>7.2655989999999999</v>
      </c>
      <c r="G405" s="38">
        <v>0</v>
      </c>
      <c r="H405" s="38">
        <v>0.27530876999999998</v>
      </c>
      <c r="I405" s="38">
        <v>0.78496268999999996</v>
      </c>
      <c r="J405" s="38">
        <v>3.7353873000000003E-2</v>
      </c>
      <c r="K405" s="38">
        <v>6.6736979E-3</v>
      </c>
      <c r="L405" s="40">
        <v>8.3698980309</v>
      </c>
    </row>
    <row r="406" spans="1:12" hidden="1">
      <c r="A406" s="37" t="s">
        <v>1203</v>
      </c>
      <c r="B406" s="37"/>
      <c r="C406" s="37" t="s">
        <v>634</v>
      </c>
      <c r="D406" s="64">
        <v>13054</v>
      </c>
      <c r="E406" s="38">
        <v>3.12</v>
      </c>
      <c r="F406" s="39">
        <v>0.1635442</v>
      </c>
      <c r="G406" s="38">
        <v>0</v>
      </c>
      <c r="H406" s="38">
        <v>0</v>
      </c>
      <c r="I406" s="38">
        <v>0.27356253000000003</v>
      </c>
      <c r="J406" s="38">
        <v>1.5591117999999999E-2</v>
      </c>
      <c r="K406" s="38">
        <v>8.0351048999999994E-2</v>
      </c>
      <c r="L406" s="40">
        <v>0.53304889700000002</v>
      </c>
    </row>
    <row r="407" spans="1:12" hidden="1">
      <c r="A407" s="37" t="s">
        <v>1204</v>
      </c>
      <c r="B407" s="37"/>
      <c r="C407" s="37" t="s">
        <v>826</v>
      </c>
      <c r="D407" s="64">
        <v>26157</v>
      </c>
      <c r="E407" s="38">
        <v>3.64</v>
      </c>
      <c r="F407" s="39">
        <v>3.1312416999999999</v>
      </c>
      <c r="G407" s="38">
        <v>0</v>
      </c>
      <c r="H407" s="38">
        <v>0.27530876999999998</v>
      </c>
      <c r="I407" s="38">
        <v>0.78496268999999996</v>
      </c>
      <c r="J407" s="38">
        <v>3.7353873000000003E-2</v>
      </c>
      <c r="K407" s="38">
        <v>6.6736979E-3</v>
      </c>
      <c r="L407" s="40">
        <v>4.2355407308999995</v>
      </c>
    </row>
    <row r="408" spans="1:12" hidden="1">
      <c r="A408" s="37" t="s">
        <v>1205</v>
      </c>
      <c r="B408" s="37"/>
      <c r="C408" s="37" t="s">
        <v>1199</v>
      </c>
      <c r="D408" s="64">
        <v>11075</v>
      </c>
      <c r="E408" s="38">
        <v>4.3099999999999996</v>
      </c>
      <c r="F408" s="39">
        <v>6.8743721000000004</v>
      </c>
      <c r="G408" s="38">
        <v>0.44480792000000002</v>
      </c>
      <c r="H408" s="38">
        <v>0.47782284000000003</v>
      </c>
      <c r="I408" s="38">
        <v>0.33418850999999999</v>
      </c>
      <c r="J408" s="38">
        <v>1.5675970000000001E-2</v>
      </c>
      <c r="K408" s="38">
        <v>0</v>
      </c>
      <c r="L408" s="40">
        <v>8.14686734</v>
      </c>
    </row>
    <row r="409" spans="1:12" hidden="1">
      <c r="A409" s="37" t="s">
        <v>1206</v>
      </c>
      <c r="B409" s="37"/>
      <c r="C409" s="37" t="s">
        <v>826</v>
      </c>
      <c r="D409" s="64">
        <v>26084</v>
      </c>
      <c r="E409" s="38">
        <v>3.64</v>
      </c>
      <c r="F409" s="39">
        <v>9.3213296000000003</v>
      </c>
      <c r="G409" s="38">
        <v>0</v>
      </c>
      <c r="H409" s="38">
        <v>0.27530876999999998</v>
      </c>
      <c r="I409" s="38">
        <v>1.1705296999999999</v>
      </c>
      <c r="J409" s="38">
        <v>3.7353873000000003E-2</v>
      </c>
      <c r="K409" s="38">
        <v>6.6736979E-3</v>
      </c>
      <c r="L409" s="40">
        <v>10.811195640900001</v>
      </c>
    </row>
    <row r="410" spans="1:12" hidden="1">
      <c r="A410" s="37" t="s">
        <v>1207</v>
      </c>
      <c r="B410" s="37"/>
      <c r="C410" s="37" t="s">
        <v>842</v>
      </c>
      <c r="D410" s="64">
        <v>20054</v>
      </c>
      <c r="E410" s="38">
        <v>2.6</v>
      </c>
      <c r="F410" s="39">
        <v>0.35608494000000002</v>
      </c>
      <c r="G410" s="38">
        <v>0</v>
      </c>
      <c r="H410" s="38">
        <v>0</v>
      </c>
      <c r="I410" s="38">
        <v>0.27356253000000003</v>
      </c>
      <c r="J410" s="38">
        <v>4.6360746000000001E-2</v>
      </c>
      <c r="K410" s="38">
        <v>8.0351048999999994E-2</v>
      </c>
      <c r="L410" s="40">
        <v>0.75635926500000006</v>
      </c>
    </row>
    <row r="411" spans="1:12" hidden="1">
      <c r="A411" s="37" t="s">
        <v>1208</v>
      </c>
      <c r="B411" s="37"/>
      <c r="C411" s="37" t="s">
        <v>842</v>
      </c>
      <c r="D411" s="64">
        <v>20241</v>
      </c>
      <c r="E411" s="38">
        <v>3</v>
      </c>
      <c r="F411" s="39">
        <v>0.41595280000000001</v>
      </c>
      <c r="G411" s="38">
        <v>0</v>
      </c>
      <c r="H411" s="38">
        <v>0.28002042999999999</v>
      </c>
      <c r="I411" s="38">
        <v>0.3335497</v>
      </c>
      <c r="J411" s="38">
        <v>5.4155287000000003E-2</v>
      </c>
      <c r="K411" s="38">
        <v>0.20967494</v>
      </c>
      <c r="L411" s="40">
        <v>1.2933531569999999</v>
      </c>
    </row>
    <row r="412" spans="1:12" hidden="1">
      <c r="A412" s="37" t="s">
        <v>1209</v>
      </c>
      <c r="B412" s="37"/>
      <c r="C412" s="37" t="s">
        <v>842</v>
      </c>
      <c r="D412" s="64">
        <v>20007</v>
      </c>
      <c r="E412" s="38">
        <v>2.89</v>
      </c>
      <c r="F412" s="39">
        <v>7.5910611000000003E-2</v>
      </c>
      <c r="G412" s="38">
        <v>0.32312491999999998</v>
      </c>
      <c r="H412" s="38">
        <v>0.25915577000000001</v>
      </c>
      <c r="I412" s="38">
        <v>0.32084227999999998</v>
      </c>
      <c r="J412" s="38">
        <v>2.3875550999999998E-2</v>
      </c>
      <c r="K412" s="38">
        <v>1.1022624E-2</v>
      </c>
      <c r="L412" s="40">
        <v>1.0139317559999999</v>
      </c>
    </row>
    <row r="413" spans="1:12" hidden="1">
      <c r="A413" s="37" t="s">
        <v>1210</v>
      </c>
      <c r="B413" s="37"/>
      <c r="C413" s="37" t="s">
        <v>842</v>
      </c>
      <c r="D413" s="64">
        <v>20009</v>
      </c>
      <c r="E413" s="38">
        <v>2.15</v>
      </c>
      <c r="F413" s="39">
        <v>8.0693939000000006E-2</v>
      </c>
      <c r="G413" s="38">
        <v>0</v>
      </c>
      <c r="H413" s="38">
        <v>0</v>
      </c>
      <c r="I413" s="38">
        <v>0.24073502999999999</v>
      </c>
      <c r="J413" s="38">
        <v>1.0751711000000001E-2</v>
      </c>
      <c r="K413" s="38">
        <v>3.2140419000000003E-2</v>
      </c>
      <c r="L413" s="40">
        <v>0.36432109899999998</v>
      </c>
    </row>
    <row r="414" spans="1:12" hidden="1">
      <c r="A414" s="37" t="s">
        <v>1211</v>
      </c>
      <c r="B414" s="37"/>
      <c r="C414" s="37" t="s">
        <v>842</v>
      </c>
      <c r="D414" s="64">
        <v>20008</v>
      </c>
      <c r="E414" s="38">
        <v>2.78</v>
      </c>
      <c r="F414" s="39">
        <v>0.1071146</v>
      </c>
      <c r="G414" s="38">
        <v>0</v>
      </c>
      <c r="H414" s="38">
        <v>0.28002042999999999</v>
      </c>
      <c r="I414" s="38">
        <v>0.3335497</v>
      </c>
      <c r="J414" s="38">
        <v>1.4272017E-2</v>
      </c>
      <c r="K414" s="38">
        <v>0.19993026999999999</v>
      </c>
      <c r="L414" s="40">
        <v>0.93488701699999999</v>
      </c>
    </row>
    <row r="415" spans="1:12" hidden="1">
      <c r="A415" s="37" t="s">
        <v>1212</v>
      </c>
      <c r="B415" s="37"/>
      <c r="C415" s="37" t="s">
        <v>842</v>
      </c>
      <c r="D415" s="64">
        <v>20261</v>
      </c>
      <c r="E415" s="38">
        <v>2.78</v>
      </c>
      <c r="F415" s="39">
        <v>9.4266660000000002E-2</v>
      </c>
      <c r="G415" s="38">
        <v>0</v>
      </c>
      <c r="H415" s="38">
        <v>0.26934943</v>
      </c>
      <c r="I415" s="38">
        <v>0.27042117999999998</v>
      </c>
      <c r="J415" s="38">
        <v>1.1418317000000001E-2</v>
      </c>
      <c r="K415" s="38">
        <v>2.0767291E-2</v>
      </c>
      <c r="L415" s="40">
        <v>0.66622287799999991</v>
      </c>
    </row>
    <row r="416" spans="1:12" hidden="1">
      <c r="A416" s="37" t="s">
        <v>1213</v>
      </c>
      <c r="B416" s="37"/>
      <c r="C416" s="37" t="s">
        <v>842</v>
      </c>
      <c r="D416" s="64">
        <v>20208</v>
      </c>
      <c r="E416" s="38">
        <v>2.7</v>
      </c>
      <c r="F416" s="39">
        <v>7.2987668000000006E-2</v>
      </c>
      <c r="G416" s="38">
        <v>9.1766547000000004E-2</v>
      </c>
      <c r="H416" s="38">
        <v>0.26232822</v>
      </c>
      <c r="I416" s="38">
        <v>0.21372579999999999</v>
      </c>
      <c r="J416" s="38">
        <v>6.8654974999999993E-2</v>
      </c>
      <c r="K416" s="38">
        <v>2.5251829999999999E-2</v>
      </c>
      <c r="L416" s="40">
        <v>0.73471503999999987</v>
      </c>
    </row>
    <row r="417" spans="1:12" hidden="1">
      <c r="A417" s="37" t="s">
        <v>1214</v>
      </c>
      <c r="B417" s="37"/>
      <c r="C417" s="37" t="s">
        <v>842</v>
      </c>
      <c r="D417" s="64">
        <v>20209</v>
      </c>
      <c r="E417" s="38">
        <v>2.98</v>
      </c>
      <c r="F417" s="39">
        <v>8.5258941000000005E-2</v>
      </c>
      <c r="G417" s="38">
        <v>0.10719508</v>
      </c>
      <c r="H417" s="38">
        <v>0.30643294999999998</v>
      </c>
      <c r="I417" s="38">
        <v>0.24965909999999999</v>
      </c>
      <c r="J417" s="38">
        <v>8.01978E-2</v>
      </c>
      <c r="K417" s="38">
        <v>0.1240069</v>
      </c>
      <c r="L417" s="40">
        <v>0.95275077100000005</v>
      </c>
    </row>
    <row r="418" spans="1:12" hidden="1">
      <c r="A418" s="37" t="s">
        <v>1215</v>
      </c>
      <c r="B418" s="37"/>
      <c r="C418" s="37" t="s">
        <v>842</v>
      </c>
      <c r="D418" s="64">
        <v>26257</v>
      </c>
      <c r="E418" s="38">
        <v>1.2</v>
      </c>
      <c r="F418" s="39">
        <v>8.3273854999999994E-2</v>
      </c>
      <c r="G418" s="38">
        <v>0.20514260000000001</v>
      </c>
      <c r="H418" s="38">
        <v>0.15680095999999999</v>
      </c>
      <c r="I418" s="38">
        <v>0.46993096000000001</v>
      </c>
      <c r="J418" s="38">
        <v>6.9119992000000005E-2</v>
      </c>
      <c r="K418" s="38">
        <v>6.6736979E-3</v>
      </c>
      <c r="L418" s="40">
        <v>0.99094206490000003</v>
      </c>
    </row>
    <row r="419" spans="1:12" hidden="1">
      <c r="A419" s="41" t="s">
        <v>1216</v>
      </c>
      <c r="B419" s="41"/>
      <c r="C419" s="41" t="s">
        <v>782</v>
      </c>
      <c r="D419" s="65">
        <v>25537</v>
      </c>
      <c r="E419" s="42">
        <v>3.1</v>
      </c>
      <c r="F419" s="43">
        <v>4.6849420000000004</v>
      </c>
      <c r="G419" s="42">
        <v>2.9031966999999999E-2</v>
      </c>
      <c r="H419" s="42">
        <v>0.27727707000000001</v>
      </c>
      <c r="I419" s="42">
        <v>0.78994969999999998</v>
      </c>
      <c r="J419" s="42">
        <v>3.7768032999999999E-2</v>
      </c>
      <c r="K419" s="42">
        <v>6.6736979E-3</v>
      </c>
      <c r="L419" s="44">
        <v>5.8256424679000007</v>
      </c>
    </row>
    <row r="420" spans="1:12" hidden="1">
      <c r="A420" s="37" t="s">
        <v>1217</v>
      </c>
      <c r="B420" s="37"/>
      <c r="C420" s="37" t="s">
        <v>826</v>
      </c>
      <c r="D420" s="64">
        <v>27003</v>
      </c>
      <c r="E420" s="38">
        <v>3.68</v>
      </c>
      <c r="F420" s="39">
        <v>5.2690168000000002</v>
      </c>
      <c r="G420" s="38">
        <v>0</v>
      </c>
      <c r="H420" s="38">
        <v>0.27530876999999998</v>
      </c>
      <c r="I420" s="38">
        <v>0.90277483999999997</v>
      </c>
      <c r="J420" s="38">
        <v>3.7353873000000003E-2</v>
      </c>
      <c r="K420" s="38">
        <v>6.6736979E-3</v>
      </c>
      <c r="L420" s="40">
        <v>6.4911279809</v>
      </c>
    </row>
    <row r="421" spans="1:12" hidden="1">
      <c r="A421" s="37" t="s">
        <v>1218</v>
      </c>
      <c r="B421" s="37"/>
      <c r="C421" s="37" t="s">
        <v>873</v>
      </c>
      <c r="D421" s="64">
        <v>27004</v>
      </c>
      <c r="E421" s="38">
        <v>3.56</v>
      </c>
      <c r="F421" s="39">
        <v>6.4337752000000004</v>
      </c>
      <c r="G421" s="38">
        <v>0</v>
      </c>
      <c r="H421" s="38">
        <v>0.22504651000000001</v>
      </c>
      <c r="I421" s="38">
        <v>1.1023404999999999</v>
      </c>
      <c r="J421" s="38">
        <v>4.5611246000000001E-2</v>
      </c>
      <c r="K421" s="38">
        <v>9.4039550999999999E-2</v>
      </c>
      <c r="L421" s="40">
        <v>7.900813007</v>
      </c>
    </row>
    <row r="422" spans="1:12" hidden="1">
      <c r="A422" s="37" t="s">
        <v>1219</v>
      </c>
      <c r="B422" s="37"/>
      <c r="C422" s="37" t="s">
        <v>640</v>
      </c>
      <c r="D422" s="64">
        <v>12025</v>
      </c>
      <c r="E422" s="38">
        <v>2.2400000000000002</v>
      </c>
      <c r="F422" s="39">
        <v>4.2070667999999998</v>
      </c>
      <c r="G422" s="38">
        <v>0.27319070000000001</v>
      </c>
      <c r="H422" s="38">
        <v>0.26233268999999998</v>
      </c>
      <c r="I422" s="38">
        <v>0.21100323000000001</v>
      </c>
      <c r="J422" s="38">
        <v>3.5969872999999999E-2</v>
      </c>
      <c r="K422" s="38">
        <v>6.6736979E-3</v>
      </c>
      <c r="L422" s="40">
        <v>4.9962369909</v>
      </c>
    </row>
    <row r="423" spans="1:12" hidden="1">
      <c r="A423" s="37" t="s">
        <v>1220</v>
      </c>
      <c r="B423" s="37"/>
      <c r="C423" s="37" t="s">
        <v>873</v>
      </c>
      <c r="D423" s="64">
        <v>26003</v>
      </c>
      <c r="E423" s="38">
        <v>3.52</v>
      </c>
      <c r="F423" s="39">
        <v>11.381883999999999</v>
      </c>
      <c r="G423" s="38">
        <v>0</v>
      </c>
      <c r="H423" s="38">
        <v>0.22504651000000001</v>
      </c>
      <c r="I423" s="38">
        <v>1.4292847</v>
      </c>
      <c r="J423" s="38">
        <v>4.5611246000000001E-2</v>
      </c>
      <c r="K423" s="38">
        <v>9.4039550999999999E-2</v>
      </c>
      <c r="L423" s="40">
        <v>13.175866007</v>
      </c>
    </row>
    <row r="424" spans="1:12" hidden="1">
      <c r="A424" s="37" t="s">
        <v>1221</v>
      </c>
      <c r="B424" s="37"/>
      <c r="C424" s="37" t="s">
        <v>782</v>
      </c>
      <c r="D424" s="64">
        <v>26002</v>
      </c>
      <c r="E424" s="38">
        <v>3.74</v>
      </c>
      <c r="F424" s="39">
        <v>11.393656999999999</v>
      </c>
      <c r="G424" s="38">
        <v>1.2618731E-3</v>
      </c>
      <c r="H424" s="38">
        <v>0.33605898000000001</v>
      </c>
      <c r="I424" s="38">
        <v>1.4300246999999999</v>
      </c>
      <c r="J424" s="38">
        <v>4.5611246000000001E-2</v>
      </c>
      <c r="K424" s="38">
        <v>0.11549598</v>
      </c>
      <c r="L424" s="40">
        <v>13.322109779100002</v>
      </c>
    </row>
    <row r="425" spans="1:12" hidden="1">
      <c r="A425" s="37" t="s">
        <v>1222</v>
      </c>
      <c r="B425" s="37"/>
      <c r="C425" s="37" t="s">
        <v>1199</v>
      </c>
      <c r="D425" s="64">
        <v>11064</v>
      </c>
      <c r="E425" s="38">
        <v>3.95</v>
      </c>
      <c r="F425" s="39">
        <v>6.8743721000000004</v>
      </c>
      <c r="G425" s="38">
        <v>0.44480792000000002</v>
      </c>
      <c r="H425" s="38">
        <v>0.47782284000000003</v>
      </c>
      <c r="I425" s="38">
        <v>0.33418850999999999</v>
      </c>
      <c r="J425" s="38">
        <v>1.5675970000000001E-2</v>
      </c>
      <c r="K425" s="38">
        <v>0</v>
      </c>
      <c r="L425" s="40">
        <v>8.14686734</v>
      </c>
    </row>
    <row r="426" spans="1:12" hidden="1">
      <c r="A426" s="37" t="s">
        <v>1223</v>
      </c>
      <c r="B426" s="37"/>
      <c r="C426" s="37" t="s">
        <v>634</v>
      </c>
      <c r="D426" s="64">
        <v>13007</v>
      </c>
      <c r="E426" s="38">
        <v>2.92</v>
      </c>
      <c r="F426" s="39">
        <v>1.4268828</v>
      </c>
      <c r="G426" s="38">
        <v>0</v>
      </c>
      <c r="H426" s="38">
        <v>0</v>
      </c>
      <c r="I426" s="38">
        <v>0.27356253000000003</v>
      </c>
      <c r="J426" s="38">
        <v>1.5591117999999999E-2</v>
      </c>
      <c r="K426" s="38">
        <v>8.0351048999999994E-2</v>
      </c>
      <c r="L426" s="40">
        <v>1.7963874969999998</v>
      </c>
    </row>
    <row r="427" spans="1:12" hidden="1">
      <c r="A427" s="41" t="s">
        <v>1224</v>
      </c>
      <c r="B427" s="41"/>
      <c r="C427" s="41" t="s">
        <v>811</v>
      </c>
      <c r="D427" s="65">
        <v>25099</v>
      </c>
      <c r="E427" s="42">
        <v>2.5499999999999998</v>
      </c>
      <c r="F427" s="43">
        <v>1.5303009000000001</v>
      </c>
      <c r="G427" s="42">
        <v>0.51923054999999996</v>
      </c>
      <c r="H427" s="42">
        <v>0.17146560999999999</v>
      </c>
      <c r="I427" s="42">
        <v>0.14304695000000001</v>
      </c>
      <c r="J427" s="42">
        <v>1.5811623E-2</v>
      </c>
      <c r="K427" s="42">
        <v>1.1022624E-2</v>
      </c>
      <c r="L427" s="44">
        <v>2.3908782569999998</v>
      </c>
    </row>
    <row r="428" spans="1:12" hidden="1">
      <c r="A428" s="41" t="s">
        <v>1225</v>
      </c>
      <c r="B428" s="41"/>
      <c r="C428" s="41" t="s">
        <v>811</v>
      </c>
      <c r="D428" s="65">
        <v>25098</v>
      </c>
      <c r="E428" s="42">
        <v>2.5</v>
      </c>
      <c r="F428" s="43">
        <v>2.0549800999999999</v>
      </c>
      <c r="G428" s="42">
        <v>0.42045747999999999</v>
      </c>
      <c r="H428" s="42">
        <v>0.26904275</v>
      </c>
      <c r="I428" s="42">
        <v>0.11729204</v>
      </c>
      <c r="J428" s="42">
        <v>1.5811623E-2</v>
      </c>
      <c r="K428" s="42">
        <v>1.1022624E-2</v>
      </c>
      <c r="L428" s="44">
        <v>2.8886066170000002</v>
      </c>
    </row>
    <row r="429" spans="1:12" hidden="1">
      <c r="A429" s="41" t="s">
        <v>1226</v>
      </c>
      <c r="B429" s="41"/>
      <c r="C429" s="41" t="s">
        <v>811</v>
      </c>
      <c r="D429" s="65">
        <v>25002</v>
      </c>
      <c r="E429" s="42">
        <v>2.82</v>
      </c>
      <c r="F429" s="43">
        <v>3.6570392E-2</v>
      </c>
      <c r="G429" s="42">
        <v>0.25532231</v>
      </c>
      <c r="H429" s="42">
        <v>0.21433200999999999</v>
      </c>
      <c r="I429" s="42">
        <v>0.14286845000000001</v>
      </c>
      <c r="J429" s="42">
        <v>1.9764528999999999E-2</v>
      </c>
      <c r="K429" s="42">
        <v>9.1373673000000002E-2</v>
      </c>
      <c r="L429" s="44">
        <v>0.76023136400000002</v>
      </c>
    </row>
    <row r="430" spans="1:12" hidden="1">
      <c r="A430" s="37" t="s">
        <v>1227</v>
      </c>
      <c r="B430" s="37"/>
      <c r="C430" s="37" t="s">
        <v>842</v>
      </c>
      <c r="D430" s="64">
        <v>20078</v>
      </c>
      <c r="E430" s="38">
        <v>2.97</v>
      </c>
      <c r="F430" s="39">
        <v>0.39264062</v>
      </c>
      <c r="G430" s="38">
        <v>0.36125895000000002</v>
      </c>
      <c r="H430" s="38">
        <v>0.25915577000000001</v>
      </c>
      <c r="I430" s="38">
        <v>0.31893431999999999</v>
      </c>
      <c r="J430" s="38">
        <v>2.3875550999999998E-2</v>
      </c>
      <c r="K430" s="38">
        <v>1.1022624E-2</v>
      </c>
      <c r="L430" s="40">
        <v>1.366887835</v>
      </c>
    </row>
    <row r="431" spans="1:12" hidden="1">
      <c r="A431" s="37" t="s">
        <v>1228</v>
      </c>
      <c r="B431" s="37"/>
      <c r="C431" s="37" t="s">
        <v>842</v>
      </c>
      <c r="D431" s="64">
        <v>20023</v>
      </c>
      <c r="E431" s="38">
        <v>2.3199999999999998</v>
      </c>
      <c r="F431" s="39">
        <v>0.43138668000000002</v>
      </c>
      <c r="G431" s="38">
        <v>0</v>
      </c>
      <c r="H431" s="38">
        <v>0</v>
      </c>
      <c r="I431" s="38">
        <v>0.22561858000000001</v>
      </c>
      <c r="J431" s="38">
        <v>1.007658E-2</v>
      </c>
      <c r="K431" s="38">
        <v>9.9362450999999994E-3</v>
      </c>
      <c r="L431" s="40">
        <v>0.67701808510000006</v>
      </c>
    </row>
    <row r="432" spans="1:12" hidden="1">
      <c r="A432" s="37" t="s">
        <v>1229</v>
      </c>
      <c r="B432" s="37"/>
      <c r="C432" s="37" t="s">
        <v>842</v>
      </c>
      <c r="D432" s="64">
        <v>20024</v>
      </c>
      <c r="E432" s="38">
        <v>2.86</v>
      </c>
      <c r="F432" s="39">
        <v>0.50391487000000001</v>
      </c>
      <c r="G432" s="38">
        <v>0</v>
      </c>
      <c r="H432" s="38">
        <v>0.23106910999999999</v>
      </c>
      <c r="I432" s="38">
        <v>0.27509253</v>
      </c>
      <c r="J432" s="38">
        <v>1.1770736E-2</v>
      </c>
      <c r="K432" s="38">
        <v>0.10755372000000001</v>
      </c>
      <c r="L432" s="40">
        <v>1.129400966</v>
      </c>
    </row>
    <row r="433" spans="1:12" hidden="1">
      <c r="A433" s="37" t="s">
        <v>1230</v>
      </c>
      <c r="B433" s="37"/>
      <c r="C433" s="37" t="s">
        <v>1231</v>
      </c>
      <c r="D433" s="64">
        <v>25600</v>
      </c>
      <c r="E433" s="38">
        <v>2.66</v>
      </c>
      <c r="F433" s="39">
        <v>0.22498626999999999</v>
      </c>
      <c r="G433" s="38">
        <v>0.25169438</v>
      </c>
      <c r="H433" s="38">
        <v>0.31255217000000002</v>
      </c>
      <c r="I433" s="38">
        <v>0.26005823</v>
      </c>
      <c r="J433" s="38">
        <v>1.3594837E-2</v>
      </c>
      <c r="K433" s="38">
        <v>6.6736979E-3</v>
      </c>
      <c r="L433" s="40">
        <v>1.0695595849000001</v>
      </c>
    </row>
    <row r="434" spans="1:12" hidden="1">
      <c r="A434" s="37" t="s">
        <v>1232</v>
      </c>
      <c r="B434" s="37"/>
      <c r="C434" s="37" t="s">
        <v>842</v>
      </c>
      <c r="D434" s="64">
        <v>20055</v>
      </c>
      <c r="E434" s="38">
        <v>2.5499999999999998</v>
      </c>
      <c r="F434" s="39">
        <v>9.1697658000000001E-2</v>
      </c>
      <c r="G434" s="38">
        <v>0</v>
      </c>
      <c r="H434" s="38">
        <v>0</v>
      </c>
      <c r="I434" s="38">
        <v>0.27356253000000003</v>
      </c>
      <c r="J434" s="38">
        <v>1.2217853000000001E-2</v>
      </c>
      <c r="K434" s="38">
        <v>8.0351048999999994E-2</v>
      </c>
      <c r="L434" s="40">
        <v>0.45782909000000005</v>
      </c>
    </row>
    <row r="435" spans="1:12" hidden="1">
      <c r="A435" s="37" t="s">
        <v>1233</v>
      </c>
      <c r="B435" s="37"/>
      <c r="C435" s="37" t="s">
        <v>842</v>
      </c>
      <c r="D435" s="64">
        <v>20025</v>
      </c>
      <c r="E435" s="38">
        <v>2.98</v>
      </c>
      <c r="F435" s="39">
        <v>0.1071146</v>
      </c>
      <c r="G435" s="38">
        <v>0</v>
      </c>
      <c r="H435" s="38">
        <v>0.28002042999999999</v>
      </c>
      <c r="I435" s="38">
        <v>0.3335497</v>
      </c>
      <c r="J435" s="38">
        <v>1.4272017E-2</v>
      </c>
      <c r="K435" s="38">
        <v>0.19993026999999999</v>
      </c>
      <c r="L435" s="40">
        <v>0.93488701699999999</v>
      </c>
    </row>
    <row r="436" spans="1:12" hidden="1">
      <c r="A436" s="37" t="s">
        <v>1234</v>
      </c>
      <c r="B436" s="37"/>
      <c r="C436" s="37" t="s">
        <v>842</v>
      </c>
      <c r="D436" s="64">
        <v>20278</v>
      </c>
      <c r="E436" s="38">
        <v>2.98</v>
      </c>
      <c r="F436" s="39">
        <v>9.4266660000000002E-2</v>
      </c>
      <c r="G436" s="38">
        <v>0</v>
      </c>
      <c r="H436" s="38">
        <v>0.24471420999999999</v>
      </c>
      <c r="I436" s="38">
        <v>0.27042117999999998</v>
      </c>
      <c r="J436" s="38">
        <v>1.1418317000000001E-2</v>
      </c>
      <c r="K436" s="38">
        <v>1.1022624E-2</v>
      </c>
      <c r="L436" s="40">
        <v>0.63184299099999985</v>
      </c>
    </row>
    <row r="437" spans="1:12" hidden="1">
      <c r="A437" s="37" t="s">
        <v>1235</v>
      </c>
      <c r="B437" s="37"/>
      <c r="C437" s="37" t="s">
        <v>623</v>
      </c>
      <c r="D437" s="64">
        <v>32013</v>
      </c>
      <c r="E437" s="38">
        <v>3.71</v>
      </c>
      <c r="F437" s="39">
        <v>2.4106751000000002</v>
      </c>
      <c r="G437" s="38">
        <v>0.53688698999999995</v>
      </c>
      <c r="H437" s="38">
        <v>0.10982668</v>
      </c>
      <c r="I437" s="38">
        <v>0.25948072</v>
      </c>
      <c r="J437" s="38">
        <v>1.9437894000000001E-2</v>
      </c>
      <c r="K437" s="38">
        <v>0</v>
      </c>
      <c r="L437" s="40">
        <v>3.3363073839999999</v>
      </c>
    </row>
    <row r="438" spans="1:12" hidden="1">
      <c r="A438" s="37" t="s">
        <v>1236</v>
      </c>
      <c r="B438" s="37"/>
      <c r="C438" s="37" t="s">
        <v>623</v>
      </c>
      <c r="D438" s="64">
        <v>32134</v>
      </c>
      <c r="E438" s="38">
        <v>4.03</v>
      </c>
      <c r="F438" s="39">
        <v>2.4106751000000002</v>
      </c>
      <c r="G438" s="38">
        <v>0.53688698999999995</v>
      </c>
      <c r="H438" s="38">
        <v>0.28123298000000002</v>
      </c>
      <c r="I438" s="38">
        <v>0.25408389999999997</v>
      </c>
      <c r="J438" s="38">
        <v>1.9437894000000001E-2</v>
      </c>
      <c r="K438" s="38">
        <v>0</v>
      </c>
      <c r="L438" s="40">
        <v>3.502316864</v>
      </c>
    </row>
    <row r="439" spans="1:12" hidden="1">
      <c r="A439" s="37" t="s">
        <v>1237</v>
      </c>
      <c r="B439" s="37"/>
      <c r="C439" s="37" t="s">
        <v>950</v>
      </c>
      <c r="D439" s="64">
        <v>13167</v>
      </c>
      <c r="E439" s="38">
        <v>3.71</v>
      </c>
      <c r="F439" s="39">
        <v>1.1938127000000001</v>
      </c>
      <c r="G439" s="38">
        <v>4.2675171000000001</v>
      </c>
      <c r="H439" s="38">
        <v>0.28118162000000002</v>
      </c>
      <c r="I439" s="38">
        <v>0.19401956000000001</v>
      </c>
      <c r="J439" s="38">
        <v>1.9437894000000001E-2</v>
      </c>
      <c r="K439" s="38">
        <v>0</v>
      </c>
      <c r="L439" s="40">
        <v>5.9559688739999999</v>
      </c>
    </row>
    <row r="440" spans="1:12" hidden="1">
      <c r="A440" s="37" t="s">
        <v>1238</v>
      </c>
      <c r="B440" s="37"/>
      <c r="C440" s="37" t="s">
        <v>950</v>
      </c>
      <c r="D440" s="64">
        <v>13168</v>
      </c>
      <c r="E440" s="38">
        <v>3.71</v>
      </c>
      <c r="F440" s="39">
        <v>1.1938127000000001</v>
      </c>
      <c r="G440" s="38">
        <v>4.2675171000000001</v>
      </c>
      <c r="H440" s="38">
        <v>0.28118162000000002</v>
      </c>
      <c r="I440" s="38">
        <v>0.19401956000000001</v>
      </c>
      <c r="J440" s="38">
        <v>1.9437894000000001E-2</v>
      </c>
      <c r="K440" s="38">
        <v>0</v>
      </c>
      <c r="L440" s="40">
        <v>5.9559688739999999</v>
      </c>
    </row>
    <row r="441" spans="1:12" hidden="1">
      <c r="A441" s="37" t="s">
        <v>1239</v>
      </c>
      <c r="B441" s="37"/>
      <c r="C441" s="37" t="s">
        <v>623</v>
      </c>
      <c r="D441" s="64">
        <v>32028</v>
      </c>
      <c r="E441" s="38">
        <v>3.71</v>
      </c>
      <c r="F441" s="39">
        <v>2.4106751000000002</v>
      </c>
      <c r="G441" s="38">
        <v>0.53688698999999995</v>
      </c>
      <c r="H441" s="38">
        <v>0.10982668</v>
      </c>
      <c r="I441" s="38">
        <v>0.25948072</v>
      </c>
      <c r="J441" s="38">
        <v>1.9437894000000001E-2</v>
      </c>
      <c r="K441" s="38">
        <v>0</v>
      </c>
      <c r="L441" s="40">
        <v>3.3363073839999999</v>
      </c>
    </row>
    <row r="442" spans="1:12" hidden="1">
      <c r="A442" s="37" t="s">
        <v>1240</v>
      </c>
      <c r="B442" s="37"/>
      <c r="C442" s="37" t="s">
        <v>623</v>
      </c>
      <c r="D442" s="64">
        <v>32022</v>
      </c>
      <c r="E442" s="38">
        <v>3.71</v>
      </c>
      <c r="F442" s="39">
        <v>2.4106751000000002</v>
      </c>
      <c r="G442" s="38">
        <v>0.53688698999999995</v>
      </c>
      <c r="H442" s="38">
        <v>0.10982668</v>
      </c>
      <c r="I442" s="38">
        <v>0.25948072</v>
      </c>
      <c r="J442" s="38">
        <v>1.9437894000000001E-2</v>
      </c>
      <c r="K442" s="38">
        <v>0</v>
      </c>
      <c r="L442" s="40">
        <v>3.3363073839999999</v>
      </c>
    </row>
    <row r="443" spans="1:12" hidden="1">
      <c r="A443" s="37" t="s">
        <v>1241</v>
      </c>
      <c r="B443" s="37"/>
      <c r="C443" s="37" t="s">
        <v>623</v>
      </c>
      <c r="D443" s="64">
        <v>32029</v>
      </c>
      <c r="E443" s="38">
        <v>4.03</v>
      </c>
      <c r="F443" s="39">
        <v>2.4106751000000002</v>
      </c>
      <c r="G443" s="38">
        <v>0.53688698999999995</v>
      </c>
      <c r="H443" s="38">
        <v>0.28123298000000002</v>
      </c>
      <c r="I443" s="38">
        <v>0.25408389999999997</v>
      </c>
      <c r="J443" s="38">
        <v>1.9437894000000001E-2</v>
      </c>
      <c r="K443" s="38">
        <v>0</v>
      </c>
      <c r="L443" s="40">
        <v>3.502316864</v>
      </c>
    </row>
    <row r="444" spans="1:12" hidden="1">
      <c r="A444" s="37" t="s">
        <v>1242</v>
      </c>
      <c r="B444" s="37"/>
      <c r="C444" s="37" t="s">
        <v>623</v>
      </c>
      <c r="D444" s="64">
        <v>32025</v>
      </c>
      <c r="E444" s="38">
        <v>4.03</v>
      </c>
      <c r="F444" s="39">
        <v>2.4106751000000002</v>
      </c>
      <c r="G444" s="38">
        <v>0.53688698999999995</v>
      </c>
      <c r="H444" s="38">
        <v>0.28123298000000002</v>
      </c>
      <c r="I444" s="38">
        <v>0.25408389999999997</v>
      </c>
      <c r="J444" s="38">
        <v>1.9437894000000001E-2</v>
      </c>
      <c r="K444" s="38">
        <v>0</v>
      </c>
      <c r="L444" s="40">
        <v>3.502316864</v>
      </c>
    </row>
    <row r="445" spans="1:12" hidden="1">
      <c r="A445" s="37" t="s">
        <v>1243</v>
      </c>
      <c r="B445" s="37"/>
      <c r="C445" s="37" t="s">
        <v>623</v>
      </c>
      <c r="D445" s="64">
        <v>32023</v>
      </c>
      <c r="E445" s="38">
        <v>4.03</v>
      </c>
      <c r="F445" s="39">
        <v>2.4106751000000002</v>
      </c>
      <c r="G445" s="38">
        <v>0.53688698999999995</v>
      </c>
      <c r="H445" s="38">
        <v>0.28123298000000002</v>
      </c>
      <c r="I445" s="38">
        <v>0.25408389999999997</v>
      </c>
      <c r="J445" s="38">
        <v>1.9437894000000001E-2</v>
      </c>
      <c r="K445" s="38">
        <v>0</v>
      </c>
      <c r="L445" s="40">
        <v>3.502316864</v>
      </c>
    </row>
    <row r="446" spans="1:12" hidden="1">
      <c r="A446" s="37" t="s">
        <v>1244</v>
      </c>
      <c r="B446" s="37"/>
      <c r="C446" s="37" t="s">
        <v>623</v>
      </c>
      <c r="D446" s="64">
        <v>32030</v>
      </c>
      <c r="E446" s="38">
        <v>4.03</v>
      </c>
      <c r="F446" s="39">
        <v>2.4106751000000002</v>
      </c>
      <c r="G446" s="38">
        <v>0.53688698999999995</v>
      </c>
      <c r="H446" s="38">
        <v>0.28123298000000002</v>
      </c>
      <c r="I446" s="38">
        <v>0.25408389999999997</v>
      </c>
      <c r="J446" s="38">
        <v>1.9437894000000001E-2</v>
      </c>
      <c r="K446" s="38">
        <v>0</v>
      </c>
      <c r="L446" s="40">
        <v>3.502316864</v>
      </c>
    </row>
    <row r="447" spans="1:12" hidden="1">
      <c r="A447" s="37" t="s">
        <v>1245</v>
      </c>
      <c r="B447" s="37"/>
      <c r="C447" s="37" t="s">
        <v>623</v>
      </c>
      <c r="D447" s="64">
        <v>32021</v>
      </c>
      <c r="E447" s="38">
        <v>4.03</v>
      </c>
      <c r="F447" s="39">
        <v>2.4106751000000002</v>
      </c>
      <c r="G447" s="38">
        <v>0.53688698999999995</v>
      </c>
      <c r="H447" s="38">
        <v>0.28123298000000002</v>
      </c>
      <c r="I447" s="38">
        <v>0.25408389999999997</v>
      </c>
      <c r="J447" s="38">
        <v>1.9437894000000001E-2</v>
      </c>
      <c r="K447" s="38">
        <v>0</v>
      </c>
      <c r="L447" s="40">
        <v>3.502316864</v>
      </c>
    </row>
    <row r="448" spans="1:12" hidden="1">
      <c r="A448" s="37" t="s">
        <v>1246</v>
      </c>
      <c r="B448" s="37"/>
      <c r="C448" s="37" t="s">
        <v>623</v>
      </c>
      <c r="D448" s="64">
        <v>32001</v>
      </c>
      <c r="E448" s="38">
        <v>3.71</v>
      </c>
      <c r="F448" s="39">
        <v>2.4106751000000002</v>
      </c>
      <c r="G448" s="38">
        <v>0.53688698999999995</v>
      </c>
      <c r="H448" s="38">
        <v>0.10982668</v>
      </c>
      <c r="I448" s="38">
        <v>0.25948072</v>
      </c>
      <c r="J448" s="38">
        <v>1.9437894000000001E-2</v>
      </c>
      <c r="K448" s="38">
        <v>0</v>
      </c>
      <c r="L448" s="40">
        <v>3.3363073839999999</v>
      </c>
    </row>
    <row r="449" spans="1:12" hidden="1">
      <c r="A449" s="37" t="s">
        <v>1247</v>
      </c>
      <c r="B449" s="37"/>
      <c r="C449" s="37" t="s">
        <v>623</v>
      </c>
      <c r="D449" s="64">
        <v>32017</v>
      </c>
      <c r="E449" s="38">
        <v>3.71</v>
      </c>
      <c r="F449" s="39">
        <v>2.4106751000000002</v>
      </c>
      <c r="G449" s="38">
        <v>0.53688698999999995</v>
      </c>
      <c r="H449" s="38">
        <v>0.10982668</v>
      </c>
      <c r="I449" s="38">
        <v>0.25948072</v>
      </c>
      <c r="J449" s="38">
        <v>1.9437894000000001E-2</v>
      </c>
      <c r="K449" s="38">
        <v>0</v>
      </c>
      <c r="L449" s="40">
        <v>3.3363073839999999</v>
      </c>
    </row>
    <row r="450" spans="1:12" hidden="1">
      <c r="A450" s="37" t="s">
        <v>1248</v>
      </c>
      <c r="B450" s="37"/>
      <c r="C450" s="37" t="s">
        <v>623</v>
      </c>
      <c r="D450" s="64">
        <v>32016</v>
      </c>
      <c r="E450" s="38">
        <v>3.71</v>
      </c>
      <c r="F450" s="39">
        <v>2.4106751000000002</v>
      </c>
      <c r="G450" s="38">
        <v>0.53688698999999995</v>
      </c>
      <c r="H450" s="38">
        <v>0.10982668</v>
      </c>
      <c r="I450" s="38">
        <v>0.25948072</v>
      </c>
      <c r="J450" s="38">
        <v>1.9437894000000001E-2</v>
      </c>
      <c r="K450" s="38">
        <v>0</v>
      </c>
      <c r="L450" s="40">
        <v>3.3363073839999999</v>
      </c>
    </row>
    <row r="451" spans="1:12" hidden="1">
      <c r="A451" s="37" t="s">
        <v>1249</v>
      </c>
      <c r="B451" s="37"/>
      <c r="C451" s="37" t="s">
        <v>623</v>
      </c>
      <c r="D451" s="64">
        <v>32018</v>
      </c>
      <c r="E451" s="38">
        <v>3.71</v>
      </c>
      <c r="F451" s="39">
        <v>2.4106751000000002</v>
      </c>
      <c r="G451" s="38">
        <v>0.53688698999999995</v>
      </c>
      <c r="H451" s="38">
        <v>0.10982668</v>
      </c>
      <c r="I451" s="38">
        <v>0.25948072</v>
      </c>
      <c r="J451" s="38">
        <v>1.9437894000000001E-2</v>
      </c>
      <c r="K451" s="38">
        <v>0</v>
      </c>
      <c r="L451" s="40">
        <v>3.3363073839999999</v>
      </c>
    </row>
    <row r="452" spans="1:12" hidden="1">
      <c r="A452" s="37" t="s">
        <v>1250</v>
      </c>
      <c r="B452" s="37"/>
      <c r="C452" s="37" t="s">
        <v>623</v>
      </c>
      <c r="D452" s="64">
        <v>32008</v>
      </c>
      <c r="E452" s="38">
        <v>3.33</v>
      </c>
      <c r="F452" s="39">
        <v>2.4106751000000002</v>
      </c>
      <c r="G452" s="38">
        <v>0.53688698999999995</v>
      </c>
      <c r="H452" s="38">
        <v>0.10982668</v>
      </c>
      <c r="I452" s="38">
        <v>0.25948072</v>
      </c>
      <c r="J452" s="38">
        <v>1.9437894000000001E-2</v>
      </c>
      <c r="K452" s="38">
        <v>0</v>
      </c>
      <c r="L452" s="40">
        <v>3.3363073839999999</v>
      </c>
    </row>
    <row r="453" spans="1:12" hidden="1">
      <c r="A453" s="37" t="s">
        <v>1251</v>
      </c>
      <c r="B453" s="37"/>
      <c r="C453" s="37" t="s">
        <v>623</v>
      </c>
      <c r="D453" s="64">
        <v>32002</v>
      </c>
      <c r="E453" s="38">
        <v>4.03</v>
      </c>
      <c r="F453" s="39">
        <v>2.4106751000000002</v>
      </c>
      <c r="G453" s="38">
        <v>0.53688698999999995</v>
      </c>
      <c r="H453" s="38">
        <v>0.28123298000000002</v>
      </c>
      <c r="I453" s="38">
        <v>0.25408389999999997</v>
      </c>
      <c r="J453" s="38">
        <v>1.9437894000000001E-2</v>
      </c>
      <c r="K453" s="38">
        <v>0</v>
      </c>
      <c r="L453" s="40">
        <v>3.502316864</v>
      </c>
    </row>
    <row r="454" spans="1:12" hidden="1">
      <c r="A454" s="37" t="s">
        <v>1252</v>
      </c>
      <c r="B454" s="37"/>
      <c r="C454" s="37" t="s">
        <v>623</v>
      </c>
      <c r="D454" s="64">
        <v>32116</v>
      </c>
      <c r="E454" s="38">
        <v>4.03</v>
      </c>
      <c r="F454" s="39">
        <v>2.4106751000000002</v>
      </c>
      <c r="G454" s="38">
        <v>0.53688698999999995</v>
      </c>
      <c r="H454" s="38">
        <v>0.28123298000000002</v>
      </c>
      <c r="I454" s="38">
        <v>0.25408389999999997</v>
      </c>
      <c r="J454" s="38">
        <v>1.9437894000000001E-2</v>
      </c>
      <c r="K454" s="38">
        <v>0</v>
      </c>
      <c r="L454" s="40">
        <v>3.502316864</v>
      </c>
    </row>
    <row r="455" spans="1:12" hidden="1">
      <c r="A455" s="37" t="s">
        <v>1253</v>
      </c>
      <c r="B455" s="37"/>
      <c r="C455" s="37" t="s">
        <v>807</v>
      </c>
      <c r="D455" s="64">
        <v>11002</v>
      </c>
      <c r="E455" s="38">
        <v>3.95</v>
      </c>
      <c r="F455" s="39">
        <v>0.22186655999999999</v>
      </c>
      <c r="G455" s="38">
        <v>0</v>
      </c>
      <c r="H455" s="38">
        <v>0.32904318999999999</v>
      </c>
      <c r="I455" s="38">
        <v>0.16258027</v>
      </c>
      <c r="J455" s="38">
        <v>1.9594963E-2</v>
      </c>
      <c r="K455" s="38">
        <v>8.0351048999999994E-2</v>
      </c>
      <c r="L455" s="40">
        <v>0.81343603199999992</v>
      </c>
    </row>
    <row r="456" spans="1:12" hidden="1">
      <c r="A456" s="37" t="s">
        <v>1254</v>
      </c>
      <c r="B456" s="37"/>
      <c r="C456" s="37" t="s">
        <v>634</v>
      </c>
      <c r="D456" s="64">
        <v>13008</v>
      </c>
      <c r="E456" s="38">
        <v>2.2000000000000002</v>
      </c>
      <c r="F456" s="39">
        <v>0.60236424</v>
      </c>
      <c r="G456" s="38">
        <v>0</v>
      </c>
      <c r="H456" s="38">
        <v>0.35147703000000002</v>
      </c>
      <c r="I456" s="38">
        <v>0.28554206999999998</v>
      </c>
      <c r="J456" s="38">
        <v>1.5591117999999999E-2</v>
      </c>
      <c r="K456" s="38">
        <v>8.0351048999999994E-2</v>
      </c>
      <c r="L456" s="40">
        <v>1.3353255069999999</v>
      </c>
    </row>
    <row r="457" spans="1:12" hidden="1">
      <c r="A457" s="41" t="s">
        <v>1255</v>
      </c>
      <c r="B457" s="41"/>
      <c r="C457" s="41" t="s">
        <v>631</v>
      </c>
      <c r="D457" s="65">
        <v>30730</v>
      </c>
      <c r="E457" s="42">
        <v>2.4900000000000002</v>
      </c>
      <c r="F457" s="43">
        <v>5.8058091000000003</v>
      </c>
      <c r="G457" s="42">
        <v>0.34493652000000002</v>
      </c>
      <c r="H457" s="42">
        <v>0.31591986</v>
      </c>
      <c r="I457" s="42">
        <v>0.27526131999999998</v>
      </c>
      <c r="J457" s="42">
        <v>5.1201244999999999E-2</v>
      </c>
      <c r="K457" s="42">
        <v>9.5038267999999995E-2</v>
      </c>
      <c r="L457" s="44">
        <v>6.8881663130000002</v>
      </c>
    </row>
    <row r="458" spans="1:12" hidden="1">
      <c r="A458" s="41" t="s">
        <v>1256</v>
      </c>
      <c r="B458" s="41"/>
      <c r="C458" s="41" t="s">
        <v>631</v>
      </c>
      <c r="D458" s="65">
        <v>30732</v>
      </c>
      <c r="E458" s="42">
        <v>2.4900000000000002</v>
      </c>
      <c r="F458" s="43">
        <v>4.2802141999999996</v>
      </c>
      <c r="G458" s="42">
        <v>0.25429740000000001</v>
      </c>
      <c r="H458" s="42">
        <v>0.23263986</v>
      </c>
      <c r="I458" s="42">
        <v>0.20244791000000001</v>
      </c>
      <c r="J458" s="42">
        <v>3.7768032999999999E-2</v>
      </c>
      <c r="K458" s="42">
        <v>9.2564276000000001E-2</v>
      </c>
      <c r="L458" s="44">
        <v>5.099931679</v>
      </c>
    </row>
    <row r="459" spans="1:12" hidden="1">
      <c r="A459" s="41" t="s">
        <v>1257</v>
      </c>
      <c r="B459" s="41"/>
      <c r="C459" s="41" t="s">
        <v>631</v>
      </c>
      <c r="D459" s="65">
        <v>30731</v>
      </c>
      <c r="E459" s="42">
        <v>2.4900000000000002</v>
      </c>
      <c r="F459" s="43">
        <v>4.2802141999999996</v>
      </c>
      <c r="G459" s="42">
        <v>0.25429740000000001</v>
      </c>
      <c r="H459" s="42">
        <v>0.23263986</v>
      </c>
      <c r="I459" s="42">
        <v>0.20244791000000001</v>
      </c>
      <c r="J459" s="42">
        <v>3.7768032999999999E-2</v>
      </c>
      <c r="K459" s="42">
        <v>9.2564276000000001E-2</v>
      </c>
      <c r="L459" s="44">
        <v>5.099931679</v>
      </c>
    </row>
    <row r="460" spans="1:12" hidden="1">
      <c r="A460" s="37" t="s">
        <v>1258</v>
      </c>
      <c r="B460" s="37"/>
      <c r="C460" s="37" t="s">
        <v>788</v>
      </c>
      <c r="D460" s="64">
        <v>40002</v>
      </c>
      <c r="E460" s="38">
        <v>2.63</v>
      </c>
      <c r="F460" s="39">
        <v>20.50845</v>
      </c>
      <c r="G460" s="38">
        <v>3.4519847999999999E-2</v>
      </c>
      <c r="H460" s="38">
        <v>0.27530876999999998</v>
      </c>
      <c r="I460" s="38">
        <v>0.19781488</v>
      </c>
      <c r="J460" s="38">
        <v>3.7353873000000003E-2</v>
      </c>
      <c r="K460" s="38">
        <v>6.6736979E-3</v>
      </c>
      <c r="L460" s="40">
        <v>21.060121068899996</v>
      </c>
    </row>
    <row r="461" spans="1:12" hidden="1">
      <c r="A461" s="37" t="s">
        <v>1259</v>
      </c>
      <c r="B461" s="37"/>
      <c r="C461" s="37" t="s">
        <v>786</v>
      </c>
      <c r="D461" s="64">
        <v>40003</v>
      </c>
      <c r="E461" s="38">
        <v>2.65</v>
      </c>
      <c r="F461" s="39">
        <v>28.111091999999999</v>
      </c>
      <c r="G461" s="38">
        <v>4.7316624000000002E-2</v>
      </c>
      <c r="H461" s="38">
        <v>0.37736787999999999</v>
      </c>
      <c r="I461" s="38">
        <v>0.27114639000000001</v>
      </c>
      <c r="J461" s="38">
        <v>5.1201244999999999E-2</v>
      </c>
      <c r="K461" s="38">
        <v>9.5038267999999995E-2</v>
      </c>
      <c r="L461" s="40">
        <v>28.953162407000001</v>
      </c>
    </row>
    <row r="462" spans="1:12" hidden="1">
      <c r="A462" s="37" t="s">
        <v>1260</v>
      </c>
      <c r="B462" s="37"/>
      <c r="C462" s="37" t="s">
        <v>786</v>
      </c>
      <c r="D462" s="64">
        <v>40004</v>
      </c>
      <c r="E462" s="38">
        <v>2.4900000000000002</v>
      </c>
      <c r="F462" s="39">
        <v>1.9700426</v>
      </c>
      <c r="G462" s="38">
        <v>0.14192266000000001</v>
      </c>
      <c r="H462" s="38">
        <v>0.37736787999999999</v>
      </c>
      <c r="I462" s="38">
        <v>0.26433285000000001</v>
      </c>
      <c r="J462" s="38">
        <v>5.1201244999999999E-2</v>
      </c>
      <c r="K462" s="38">
        <v>9.5038267999999995E-2</v>
      </c>
      <c r="L462" s="40">
        <v>2.8999055030000003</v>
      </c>
    </row>
    <row r="463" spans="1:12" hidden="1">
      <c r="A463" s="37" t="s">
        <v>1261</v>
      </c>
      <c r="B463" s="37"/>
      <c r="C463" s="37" t="s">
        <v>788</v>
      </c>
      <c r="D463" s="64">
        <v>40005</v>
      </c>
      <c r="E463" s="38">
        <v>2.4700000000000002</v>
      </c>
      <c r="F463" s="39">
        <v>1.4372448</v>
      </c>
      <c r="G463" s="38">
        <v>0.10353969</v>
      </c>
      <c r="H463" s="38">
        <v>0.27530876999999998</v>
      </c>
      <c r="I463" s="38">
        <v>0.19284406000000001</v>
      </c>
      <c r="J463" s="38">
        <v>3.7353873000000003E-2</v>
      </c>
      <c r="K463" s="38">
        <v>6.6736979E-3</v>
      </c>
      <c r="L463" s="40">
        <v>2.0529648909000002</v>
      </c>
    </row>
    <row r="464" spans="1:12" hidden="1">
      <c r="A464" s="37" t="s">
        <v>1262</v>
      </c>
      <c r="B464" s="37"/>
      <c r="C464" s="37" t="s">
        <v>788</v>
      </c>
      <c r="D464" s="64">
        <v>40006</v>
      </c>
      <c r="E464" s="38">
        <v>2.63</v>
      </c>
      <c r="F464" s="39">
        <v>17.171357</v>
      </c>
      <c r="G464" s="38">
        <v>5.7167698000000003E-2</v>
      </c>
      <c r="H464" s="38">
        <v>0.27530876999999998</v>
      </c>
      <c r="I464" s="38">
        <v>0.20135906000000001</v>
      </c>
      <c r="J464" s="38">
        <v>3.7353873000000003E-2</v>
      </c>
      <c r="K464" s="38">
        <v>6.6736979E-3</v>
      </c>
      <c r="L464" s="40">
        <v>17.7492200989</v>
      </c>
    </row>
    <row r="465" spans="1:12" hidden="1">
      <c r="A465" s="37" t="s">
        <v>1263</v>
      </c>
      <c r="B465" s="37"/>
      <c r="C465" s="37" t="s">
        <v>786</v>
      </c>
      <c r="D465" s="64">
        <v>40007</v>
      </c>
      <c r="E465" s="38">
        <v>2.65</v>
      </c>
      <c r="F465" s="39">
        <v>23.536912000000001</v>
      </c>
      <c r="G465" s="38">
        <v>7.8360209E-2</v>
      </c>
      <c r="H465" s="38">
        <v>0.37736787999999999</v>
      </c>
      <c r="I465" s="38">
        <v>0.27600443000000002</v>
      </c>
      <c r="J465" s="38">
        <v>5.1201244999999999E-2</v>
      </c>
      <c r="K465" s="38">
        <v>9.5038267999999995E-2</v>
      </c>
      <c r="L465" s="40">
        <v>24.414884032000003</v>
      </c>
    </row>
    <row r="466" spans="1:12" hidden="1">
      <c r="A466" s="37" t="s">
        <v>1264</v>
      </c>
      <c r="B466" s="37"/>
      <c r="C466" s="37" t="s">
        <v>640</v>
      </c>
      <c r="D466" s="64">
        <v>12830</v>
      </c>
      <c r="E466" s="38">
        <v>2.4500000000000002</v>
      </c>
      <c r="F466" s="39">
        <v>6.0103603999999997</v>
      </c>
      <c r="G466" s="38">
        <v>0.29382051999999997</v>
      </c>
      <c r="H466" s="38">
        <v>0.26233268999999998</v>
      </c>
      <c r="I466" s="38">
        <v>0.21100323000000001</v>
      </c>
      <c r="J466" s="38">
        <v>3.5969872999999999E-2</v>
      </c>
      <c r="K466" s="38">
        <v>6.6736979E-3</v>
      </c>
      <c r="L466" s="40">
        <v>6.8201604108999998</v>
      </c>
    </row>
    <row r="467" spans="1:12" hidden="1">
      <c r="A467" s="41" t="s">
        <v>1265</v>
      </c>
      <c r="B467" s="41"/>
      <c r="C467" s="41" t="s">
        <v>631</v>
      </c>
      <c r="D467" s="65">
        <v>30050</v>
      </c>
      <c r="E467" s="42">
        <v>2.8</v>
      </c>
      <c r="F467" s="43">
        <v>7.1508887999999997</v>
      </c>
      <c r="G467" s="42">
        <v>0.75127668000000003</v>
      </c>
      <c r="H467" s="42">
        <v>0.60645832</v>
      </c>
      <c r="I467" s="42">
        <v>0.20911091000000001</v>
      </c>
      <c r="J467" s="42">
        <v>3.7353873000000003E-2</v>
      </c>
      <c r="K467" s="42">
        <v>6.6736979E-3</v>
      </c>
      <c r="L467" s="44">
        <v>8.7617622809000011</v>
      </c>
    </row>
    <row r="468" spans="1:12" hidden="1">
      <c r="A468" s="41" t="s">
        <v>1266</v>
      </c>
      <c r="B468" s="41"/>
      <c r="C468" s="41" t="s">
        <v>631</v>
      </c>
      <c r="D468" s="65">
        <v>30052</v>
      </c>
      <c r="E468" s="42">
        <v>2.4700000000000002</v>
      </c>
      <c r="F468" s="43">
        <v>4.2356286000000001</v>
      </c>
      <c r="G468" s="42">
        <v>0.25164847000000001</v>
      </c>
      <c r="H468" s="42">
        <v>0.23047935999999999</v>
      </c>
      <c r="I468" s="42">
        <v>0.20081692000000001</v>
      </c>
      <c r="J468" s="42">
        <v>3.7353873000000003E-2</v>
      </c>
      <c r="K468" s="42">
        <v>6.6736979E-3</v>
      </c>
      <c r="L468" s="44">
        <v>4.9626009209000008</v>
      </c>
    </row>
    <row r="469" spans="1:12" hidden="1">
      <c r="A469" s="41" t="s">
        <v>1267</v>
      </c>
      <c r="B469" s="41"/>
      <c r="C469" s="41" t="s">
        <v>631</v>
      </c>
      <c r="D469" s="65">
        <v>30051</v>
      </c>
      <c r="E469" s="42">
        <v>2.4700000000000002</v>
      </c>
      <c r="F469" s="43">
        <v>4.2356286000000001</v>
      </c>
      <c r="G469" s="42">
        <v>0.25164847000000001</v>
      </c>
      <c r="H469" s="42">
        <v>0.23047935999999999</v>
      </c>
      <c r="I469" s="42">
        <v>0.20081692000000001</v>
      </c>
      <c r="J469" s="42">
        <v>3.7353873000000003E-2</v>
      </c>
      <c r="K469" s="42">
        <v>6.6736979E-3</v>
      </c>
      <c r="L469" s="44">
        <v>4.9626009209000008</v>
      </c>
    </row>
    <row r="470" spans="1:12" hidden="1">
      <c r="A470" s="37" t="s">
        <v>656</v>
      </c>
      <c r="B470" s="37"/>
      <c r="C470" s="37" t="s">
        <v>657</v>
      </c>
      <c r="D470" s="64">
        <v>5207</v>
      </c>
      <c r="E470" s="38">
        <v>3.18</v>
      </c>
      <c r="F470" s="39">
        <v>0.35046445999999998</v>
      </c>
      <c r="G470" s="38">
        <v>5.0624010999999997E-2</v>
      </c>
      <c r="H470" s="38">
        <v>0.47782284000000003</v>
      </c>
      <c r="I470" s="38">
        <v>0.30982659000000001</v>
      </c>
      <c r="J470" s="38">
        <v>3.5907992E-2</v>
      </c>
      <c r="K470" s="38">
        <v>6.6736979E-3</v>
      </c>
      <c r="L470" s="40">
        <v>1.2313195909000001</v>
      </c>
    </row>
    <row r="471" spans="1:12" hidden="1">
      <c r="A471" s="37" t="s">
        <v>1268</v>
      </c>
      <c r="B471" s="37"/>
      <c r="C471" s="37" t="s">
        <v>1231</v>
      </c>
      <c r="D471" s="64">
        <v>25605</v>
      </c>
      <c r="E471" s="38">
        <v>2.38</v>
      </c>
      <c r="F471" s="39">
        <v>2.1802717</v>
      </c>
      <c r="G471" s="38">
        <v>3.6272664000000003E-2</v>
      </c>
      <c r="H471" s="38">
        <v>0.28134063999999998</v>
      </c>
      <c r="I471" s="38">
        <v>0.25231797</v>
      </c>
      <c r="J471" s="38">
        <v>1.3595637000000001E-2</v>
      </c>
      <c r="K471" s="38">
        <v>6.6736979E-3</v>
      </c>
      <c r="L471" s="40">
        <v>2.7704723089000001</v>
      </c>
    </row>
    <row r="472" spans="1:12" hidden="1">
      <c r="A472" s="37" t="s">
        <v>1269</v>
      </c>
      <c r="B472" s="37"/>
      <c r="C472" s="37" t="s">
        <v>842</v>
      </c>
      <c r="D472" s="64">
        <v>20105</v>
      </c>
      <c r="E472" s="38">
        <v>2.6</v>
      </c>
      <c r="F472" s="39">
        <v>9.3440073999999998E-2</v>
      </c>
      <c r="G472" s="38">
        <v>0</v>
      </c>
      <c r="H472" s="38">
        <v>0</v>
      </c>
      <c r="I472" s="38">
        <v>0.27356253000000003</v>
      </c>
      <c r="J472" s="38">
        <v>4.6360746000000001E-2</v>
      </c>
      <c r="K472" s="38">
        <v>8.0351048999999994E-2</v>
      </c>
      <c r="L472" s="40">
        <v>0.49371439900000003</v>
      </c>
    </row>
    <row r="473" spans="1:12" hidden="1">
      <c r="A473" s="37" t="s">
        <v>1270</v>
      </c>
      <c r="B473" s="37"/>
      <c r="C473" s="37" t="s">
        <v>640</v>
      </c>
      <c r="D473" s="64">
        <v>12028</v>
      </c>
      <c r="E473" s="38">
        <v>2.2400000000000002</v>
      </c>
      <c r="F473" s="39">
        <v>4.1112337999999999</v>
      </c>
      <c r="G473" s="38">
        <v>0.29286401000000001</v>
      </c>
      <c r="H473" s="38">
        <v>0.26233268999999998</v>
      </c>
      <c r="I473" s="38">
        <v>0.21100323000000001</v>
      </c>
      <c r="J473" s="38">
        <v>3.5969872999999999E-2</v>
      </c>
      <c r="K473" s="38">
        <v>6.6736979E-3</v>
      </c>
      <c r="L473" s="40">
        <v>4.9200773009000001</v>
      </c>
    </row>
    <row r="474" spans="1:12" hidden="1">
      <c r="A474" s="37" t="s">
        <v>1271</v>
      </c>
      <c r="B474" s="37"/>
      <c r="C474" s="37" t="s">
        <v>788</v>
      </c>
      <c r="D474" s="64">
        <v>36050</v>
      </c>
      <c r="E474" s="38">
        <v>2.66</v>
      </c>
      <c r="F474" s="39">
        <v>5.1759893000000003</v>
      </c>
      <c r="G474" s="38">
        <v>1.028726</v>
      </c>
      <c r="H474" s="38">
        <v>0.33605375999999998</v>
      </c>
      <c r="I474" s="38">
        <v>0.29060693999999998</v>
      </c>
      <c r="J474" s="38">
        <v>4.6692341999999998E-2</v>
      </c>
      <c r="K474" s="38">
        <v>8.8693171000000001E-2</v>
      </c>
      <c r="L474" s="40">
        <v>6.9667615130000007</v>
      </c>
    </row>
    <row r="475" spans="1:12" hidden="1">
      <c r="A475" s="37" t="s">
        <v>1272</v>
      </c>
      <c r="B475" s="37"/>
      <c r="C475" s="37" t="s">
        <v>786</v>
      </c>
      <c r="D475" s="64">
        <v>36051</v>
      </c>
      <c r="E475" s="38">
        <v>2.67</v>
      </c>
      <c r="F475" s="39">
        <v>6.8523363000000002</v>
      </c>
      <c r="G475" s="38">
        <v>1.3618992999999999</v>
      </c>
      <c r="H475" s="38">
        <v>0.44489145000000002</v>
      </c>
      <c r="I475" s="38">
        <v>0.38472577000000002</v>
      </c>
      <c r="J475" s="38">
        <v>6.1814583999999999E-2</v>
      </c>
      <c r="K475" s="38">
        <v>0.20330878999999999</v>
      </c>
      <c r="L475" s="40">
        <v>9.3089761939999995</v>
      </c>
    </row>
    <row r="476" spans="1:12" hidden="1">
      <c r="A476" s="37" t="s">
        <v>1273</v>
      </c>
      <c r="B476" s="37"/>
      <c r="C476" s="37" t="s">
        <v>668</v>
      </c>
      <c r="D476" s="64">
        <v>23531</v>
      </c>
      <c r="E476" s="38">
        <v>3.18</v>
      </c>
      <c r="F476" s="39">
        <v>1.0117635</v>
      </c>
      <c r="G476" s="38">
        <v>0.23668729999999999</v>
      </c>
      <c r="H476" s="38">
        <v>0.28778061999999999</v>
      </c>
      <c r="I476" s="38">
        <v>0.18611625000000001</v>
      </c>
      <c r="J476" s="38">
        <v>1.9437894000000001E-2</v>
      </c>
      <c r="K476" s="38">
        <v>0</v>
      </c>
      <c r="L476" s="40">
        <v>1.741785564</v>
      </c>
    </row>
    <row r="477" spans="1:12" hidden="1">
      <c r="A477" s="37" t="s">
        <v>1274</v>
      </c>
      <c r="B477" s="37"/>
      <c r="C477" s="37" t="s">
        <v>637</v>
      </c>
      <c r="D477" s="64">
        <v>15039</v>
      </c>
      <c r="E477" s="38">
        <v>3.53</v>
      </c>
      <c r="F477" s="39">
        <v>1.0295426000000001</v>
      </c>
      <c r="G477" s="38">
        <v>0.12883525000000001</v>
      </c>
      <c r="H477" s="38">
        <v>0.17146364</v>
      </c>
      <c r="I477" s="38">
        <v>0.13204046</v>
      </c>
      <c r="J477" s="38">
        <v>1.5811623E-2</v>
      </c>
      <c r="K477" s="38">
        <v>0</v>
      </c>
      <c r="L477" s="40">
        <v>1.4776935730000003</v>
      </c>
    </row>
    <row r="478" spans="1:12" hidden="1">
      <c r="A478" s="37" t="s">
        <v>1275</v>
      </c>
      <c r="B478" s="37"/>
      <c r="C478" s="37" t="s">
        <v>637</v>
      </c>
      <c r="D478" s="64">
        <v>15020</v>
      </c>
      <c r="E478" s="38">
        <v>3.89</v>
      </c>
      <c r="F478" s="39">
        <v>1.5028663</v>
      </c>
      <c r="G478" s="38">
        <v>0</v>
      </c>
      <c r="H478" s="38">
        <v>0.48273022999999998</v>
      </c>
      <c r="I478" s="38">
        <v>0.18535879999999999</v>
      </c>
      <c r="J478" s="38">
        <v>2.2656431000000001E-2</v>
      </c>
      <c r="K478" s="38">
        <v>0</v>
      </c>
      <c r="L478" s="40">
        <v>2.1936117610000001</v>
      </c>
    </row>
    <row r="479" spans="1:12" hidden="1">
      <c r="A479" s="37" t="s">
        <v>1276</v>
      </c>
      <c r="B479" s="37"/>
      <c r="C479" s="37" t="s">
        <v>637</v>
      </c>
      <c r="D479" s="64">
        <v>15024</v>
      </c>
      <c r="E479" s="38">
        <v>3.89</v>
      </c>
      <c r="F479" s="39">
        <v>1.6698515</v>
      </c>
      <c r="G479" s="38">
        <v>0</v>
      </c>
      <c r="H479" s="38">
        <v>0</v>
      </c>
      <c r="I479" s="38">
        <v>0.14946824</v>
      </c>
      <c r="J479" s="38">
        <v>2.5173812E-2</v>
      </c>
      <c r="K479" s="38">
        <v>3.5711573000000003E-2</v>
      </c>
      <c r="L479" s="40">
        <v>1.880205125</v>
      </c>
    </row>
    <row r="480" spans="1:12" hidden="1">
      <c r="A480" s="37" t="s">
        <v>1277</v>
      </c>
      <c r="B480" s="37"/>
      <c r="C480" s="37" t="s">
        <v>637</v>
      </c>
      <c r="D480" s="64">
        <v>15021</v>
      </c>
      <c r="E480" s="38">
        <v>3.89</v>
      </c>
      <c r="F480" s="39">
        <v>1.5028663</v>
      </c>
      <c r="G480" s="38">
        <v>0</v>
      </c>
      <c r="H480" s="38">
        <v>0.27437287999999999</v>
      </c>
      <c r="I480" s="38">
        <v>0.13960516000000001</v>
      </c>
      <c r="J480" s="38">
        <v>2.2656431000000001E-2</v>
      </c>
      <c r="K480" s="38">
        <v>0</v>
      </c>
      <c r="L480" s="40">
        <v>1.9395007709999998</v>
      </c>
    </row>
    <row r="481" spans="1:12" hidden="1">
      <c r="A481" s="37" t="s">
        <v>1278</v>
      </c>
      <c r="B481" s="37"/>
      <c r="C481" s="37" t="s">
        <v>861</v>
      </c>
      <c r="D481" s="64">
        <v>23480</v>
      </c>
      <c r="E481" s="38">
        <v>2.13</v>
      </c>
      <c r="F481" s="39">
        <v>1.5090815</v>
      </c>
      <c r="G481" s="38">
        <v>0.19422197999999999</v>
      </c>
      <c r="H481" s="38">
        <v>0.28780692000000002</v>
      </c>
      <c r="I481" s="38">
        <v>0.13772820999999999</v>
      </c>
      <c r="J481" s="38">
        <v>4.7861880000000002E-3</v>
      </c>
      <c r="K481" s="38">
        <v>0</v>
      </c>
      <c r="L481" s="40">
        <v>2.133624798</v>
      </c>
    </row>
    <row r="482" spans="1:12" hidden="1">
      <c r="A482" s="37" t="s">
        <v>1279</v>
      </c>
      <c r="B482" s="37"/>
      <c r="C482" s="37" t="s">
        <v>640</v>
      </c>
      <c r="D482" s="64">
        <v>12726</v>
      </c>
      <c r="E482" s="38">
        <v>1.84</v>
      </c>
      <c r="F482" s="39">
        <v>5.2832705999999998</v>
      </c>
      <c r="G482" s="38">
        <v>0.38413194000000001</v>
      </c>
      <c r="H482" s="38">
        <v>0.26233268999999998</v>
      </c>
      <c r="I482" s="38">
        <v>0.21100323000000001</v>
      </c>
      <c r="J482" s="38">
        <v>3.5969872999999999E-2</v>
      </c>
      <c r="K482" s="38">
        <v>6.6736979E-3</v>
      </c>
      <c r="L482" s="40">
        <v>6.1833820308999998</v>
      </c>
    </row>
    <row r="483" spans="1:12" hidden="1">
      <c r="A483" s="37" t="s">
        <v>1280</v>
      </c>
      <c r="B483" s="37"/>
      <c r="C483" s="37" t="s">
        <v>674</v>
      </c>
      <c r="D483" s="64">
        <v>25414</v>
      </c>
      <c r="E483" s="38">
        <v>1.96</v>
      </c>
      <c r="F483" s="39">
        <v>16.341623999999999</v>
      </c>
      <c r="G483" s="38">
        <v>0.32312120999999999</v>
      </c>
      <c r="H483" s="38">
        <v>0.27732452000000002</v>
      </c>
      <c r="I483" s="38">
        <v>0.21174858999999999</v>
      </c>
      <c r="J483" s="38">
        <v>3.7768032999999999E-2</v>
      </c>
      <c r="K483" s="38">
        <v>9.2564276000000001E-2</v>
      </c>
      <c r="L483" s="40">
        <v>17.284150628999999</v>
      </c>
    </row>
    <row r="484" spans="1:12" hidden="1">
      <c r="A484" s="37" t="s">
        <v>1281</v>
      </c>
      <c r="B484" s="37"/>
      <c r="C484" s="37" t="s">
        <v>1085</v>
      </c>
      <c r="D484" s="64">
        <v>19689</v>
      </c>
      <c r="E484" s="38">
        <v>3.07</v>
      </c>
      <c r="F484" s="39">
        <v>2.1700349000000001</v>
      </c>
      <c r="G484" s="38">
        <v>0.24830356000000001</v>
      </c>
      <c r="H484" s="38">
        <v>0.18552052999999999</v>
      </c>
      <c r="I484" s="38">
        <v>0.20473100999999999</v>
      </c>
      <c r="J484" s="38">
        <v>3.7768032999999999E-2</v>
      </c>
      <c r="K484" s="38">
        <v>6.6736979E-3</v>
      </c>
      <c r="L484" s="40">
        <v>2.8530317309000002</v>
      </c>
    </row>
    <row r="485" spans="1:12" hidden="1">
      <c r="A485" s="41" t="s">
        <v>1282</v>
      </c>
      <c r="B485" s="41"/>
      <c r="C485" s="41" t="s">
        <v>788</v>
      </c>
      <c r="D485" s="65">
        <v>21800</v>
      </c>
      <c r="E485" s="42">
        <v>2.63</v>
      </c>
      <c r="F485" s="43">
        <v>39.479098</v>
      </c>
      <c r="G485" s="42">
        <v>6.6451264999999995E-2</v>
      </c>
      <c r="H485" s="42">
        <v>0.34413596000000002</v>
      </c>
      <c r="I485" s="42">
        <v>0.25337956</v>
      </c>
      <c r="J485" s="42">
        <v>4.6692341999999998E-2</v>
      </c>
      <c r="K485" s="42">
        <v>8.8693171000000001E-2</v>
      </c>
      <c r="L485" s="44">
        <v>40.278450298000003</v>
      </c>
    </row>
    <row r="486" spans="1:12" hidden="1">
      <c r="A486" s="41" t="s">
        <v>1283</v>
      </c>
      <c r="B486" s="41"/>
      <c r="C486" s="41" t="s">
        <v>786</v>
      </c>
      <c r="D486" s="65">
        <v>21801</v>
      </c>
      <c r="E486" s="42">
        <v>2.65</v>
      </c>
      <c r="F486" s="43">
        <v>49.884419000000001</v>
      </c>
      <c r="G486" s="42">
        <v>8.5250259999999994E-2</v>
      </c>
      <c r="H486" s="42">
        <v>0.43477028000000001</v>
      </c>
      <c r="I486" s="42">
        <v>0.32084891999999998</v>
      </c>
      <c r="J486" s="42">
        <v>5.8984421000000002E-2</v>
      </c>
      <c r="K486" s="42">
        <v>0.22313612999999999</v>
      </c>
      <c r="L486" s="44">
        <v>51.007409011000007</v>
      </c>
    </row>
    <row r="487" spans="1:12" hidden="1">
      <c r="A487" s="37" t="s">
        <v>1284</v>
      </c>
      <c r="B487" s="37"/>
      <c r="C487" s="37" t="s">
        <v>640</v>
      </c>
      <c r="D487" s="64">
        <v>12846</v>
      </c>
      <c r="E487" s="38">
        <v>2.4500000000000002</v>
      </c>
      <c r="F487" s="39">
        <v>5.4239838000000002</v>
      </c>
      <c r="G487" s="38">
        <v>0.29382051999999997</v>
      </c>
      <c r="H487" s="38">
        <v>0.26233268999999998</v>
      </c>
      <c r="I487" s="38">
        <v>0.21100323000000001</v>
      </c>
      <c r="J487" s="38">
        <v>3.5969872999999999E-2</v>
      </c>
      <c r="K487" s="38">
        <v>6.6736979E-3</v>
      </c>
      <c r="L487" s="40">
        <v>6.2337838109000003</v>
      </c>
    </row>
    <row r="488" spans="1:12" hidden="1">
      <c r="A488" s="41" t="s">
        <v>1285</v>
      </c>
      <c r="B488" s="41"/>
      <c r="C488" s="41" t="s">
        <v>637</v>
      </c>
      <c r="D488" s="65">
        <v>15047</v>
      </c>
      <c r="E488" s="42">
        <v>4.3600000000000003</v>
      </c>
      <c r="F488" s="43">
        <v>2.3413279999999999</v>
      </c>
      <c r="G488" s="42">
        <v>0</v>
      </c>
      <c r="H488" s="42">
        <v>0.53013177</v>
      </c>
      <c r="I488" s="42">
        <v>0.26225738999999998</v>
      </c>
      <c r="J488" s="42">
        <v>4.5312862000000002E-2</v>
      </c>
      <c r="K488" s="42">
        <v>0.32140418999999998</v>
      </c>
      <c r="L488" s="44">
        <v>3.5004342119999996</v>
      </c>
    </row>
    <row r="489" spans="1:12" hidden="1">
      <c r="A489" s="37" t="s">
        <v>1286</v>
      </c>
      <c r="B489" s="37"/>
      <c r="C489" s="37" t="s">
        <v>650</v>
      </c>
      <c r="D489" s="64">
        <v>18162</v>
      </c>
      <c r="E489" s="38">
        <v>3.01</v>
      </c>
      <c r="F489" s="39">
        <v>1.5330877999999999</v>
      </c>
      <c r="G489" s="38">
        <v>0.42239964000000002</v>
      </c>
      <c r="H489" s="38">
        <v>0.17741768999999999</v>
      </c>
      <c r="I489" s="38">
        <v>0.13376706999999999</v>
      </c>
      <c r="J489" s="38">
        <v>1.5675970000000001E-2</v>
      </c>
      <c r="K489" s="38">
        <v>0</v>
      </c>
      <c r="L489" s="40">
        <v>2.2823481700000006</v>
      </c>
    </row>
    <row r="490" spans="1:12" hidden="1">
      <c r="A490" s="37" t="s">
        <v>1287</v>
      </c>
      <c r="B490" s="37"/>
      <c r="C490" s="37" t="s">
        <v>650</v>
      </c>
      <c r="D490" s="64">
        <v>18153</v>
      </c>
      <c r="E490" s="38">
        <v>3.01</v>
      </c>
      <c r="F490" s="39">
        <v>1.5330877999999999</v>
      </c>
      <c r="G490" s="38">
        <v>0.42239964000000002</v>
      </c>
      <c r="H490" s="38">
        <v>0.17741768999999999</v>
      </c>
      <c r="I490" s="38">
        <v>0.13376706999999999</v>
      </c>
      <c r="J490" s="38">
        <v>1.5675970000000001E-2</v>
      </c>
      <c r="K490" s="38">
        <v>0</v>
      </c>
      <c r="L490" s="40">
        <v>2.2823481700000006</v>
      </c>
    </row>
    <row r="491" spans="1:12" hidden="1">
      <c r="A491" s="37" t="s">
        <v>1288</v>
      </c>
      <c r="B491" s="37"/>
      <c r="C491" s="37" t="s">
        <v>650</v>
      </c>
      <c r="D491" s="64">
        <v>18150</v>
      </c>
      <c r="E491" s="38">
        <v>2.31</v>
      </c>
      <c r="F491" s="39">
        <v>8.3740936999999995</v>
      </c>
      <c r="G491" s="38">
        <v>5.1244676</v>
      </c>
      <c r="H491" s="38">
        <v>0.47782284000000003</v>
      </c>
      <c r="I491" s="38">
        <v>0.33251815000000001</v>
      </c>
      <c r="J491" s="38">
        <v>1.5675970000000001E-2</v>
      </c>
      <c r="K491" s="38">
        <v>0</v>
      </c>
      <c r="L491" s="40">
        <v>14.324578259999999</v>
      </c>
    </row>
    <row r="492" spans="1:12" hidden="1">
      <c r="A492" s="41" t="s">
        <v>1289</v>
      </c>
      <c r="B492" s="41"/>
      <c r="C492" s="41" t="s">
        <v>842</v>
      </c>
      <c r="D492" s="65">
        <v>20162</v>
      </c>
      <c r="E492" s="42">
        <v>2.6</v>
      </c>
      <c r="F492" s="43">
        <v>0.22517429</v>
      </c>
      <c r="G492" s="42">
        <v>0</v>
      </c>
      <c r="H492" s="42">
        <v>0</v>
      </c>
      <c r="I492" s="42">
        <v>0.27356253000000003</v>
      </c>
      <c r="J492" s="42">
        <v>4.6360746000000001E-2</v>
      </c>
      <c r="K492" s="42">
        <v>8.0351048999999994E-2</v>
      </c>
      <c r="L492" s="44">
        <v>0.62544861500000004</v>
      </c>
    </row>
    <row r="493" spans="1:12" hidden="1">
      <c r="A493" s="37" t="s">
        <v>1290</v>
      </c>
      <c r="B493" s="37"/>
      <c r="C493" s="37" t="s">
        <v>842</v>
      </c>
      <c r="D493" s="64">
        <v>20163</v>
      </c>
      <c r="E493" s="38">
        <v>2.6</v>
      </c>
      <c r="F493" s="39">
        <v>0.22517429</v>
      </c>
      <c r="G493" s="38">
        <v>0</v>
      </c>
      <c r="H493" s="38">
        <v>0</v>
      </c>
      <c r="I493" s="38">
        <v>0.27356253000000003</v>
      </c>
      <c r="J493" s="38">
        <v>4.6360746000000001E-2</v>
      </c>
      <c r="K493" s="38">
        <v>8.0351048999999994E-2</v>
      </c>
      <c r="L493" s="40">
        <v>0.62544861500000004</v>
      </c>
    </row>
    <row r="494" spans="1:12" hidden="1">
      <c r="A494" s="37" t="s">
        <v>1291</v>
      </c>
      <c r="B494" s="37"/>
      <c r="C494" s="37" t="s">
        <v>650</v>
      </c>
      <c r="D494" s="64">
        <v>18161</v>
      </c>
      <c r="E494" s="38">
        <v>2.39</v>
      </c>
      <c r="F494" s="39">
        <v>0.97195986000000001</v>
      </c>
      <c r="G494" s="38">
        <v>1.174798E-2</v>
      </c>
      <c r="H494" s="38">
        <v>0.17741768999999999</v>
      </c>
      <c r="I494" s="38">
        <v>0.12104781000000001</v>
      </c>
      <c r="J494" s="38">
        <v>1.5675970000000001E-2</v>
      </c>
      <c r="K494" s="38">
        <v>0</v>
      </c>
      <c r="L494" s="40">
        <v>1.2978493100000001</v>
      </c>
    </row>
    <row r="495" spans="1:12" hidden="1">
      <c r="A495" s="37" t="s">
        <v>1292</v>
      </c>
      <c r="B495" s="37"/>
      <c r="C495" s="37" t="s">
        <v>650</v>
      </c>
      <c r="D495" s="64">
        <v>18152</v>
      </c>
      <c r="E495" s="38">
        <v>2.74</v>
      </c>
      <c r="F495" s="39">
        <v>0.73493993000000002</v>
      </c>
      <c r="G495" s="38">
        <v>3.9657469000000001</v>
      </c>
      <c r="H495" s="38">
        <v>0.47782284000000003</v>
      </c>
      <c r="I495" s="38">
        <v>0.23372652999999999</v>
      </c>
      <c r="J495" s="38">
        <v>1.5350219999999999E-2</v>
      </c>
      <c r="K495" s="38">
        <v>0</v>
      </c>
      <c r="L495" s="40">
        <v>5.4275864200000008</v>
      </c>
    </row>
    <row r="496" spans="1:12" hidden="1">
      <c r="A496" s="37" t="s">
        <v>1293</v>
      </c>
      <c r="B496" s="37"/>
      <c r="C496" s="37" t="s">
        <v>650</v>
      </c>
      <c r="D496" s="64">
        <v>18152</v>
      </c>
      <c r="E496" s="38">
        <v>2.74</v>
      </c>
      <c r="F496" s="39">
        <v>1.4410587000000001E-2</v>
      </c>
      <c r="G496" s="38">
        <v>7.7759742000000007E-2</v>
      </c>
      <c r="H496" s="38">
        <v>9.3690727999999994E-3</v>
      </c>
      <c r="I496" s="38">
        <v>4.5553861999999999E-3</v>
      </c>
      <c r="J496" s="38">
        <v>3.0098469999999998E-4</v>
      </c>
      <c r="K496" s="38">
        <v>1.1225943E-2</v>
      </c>
      <c r="L496" s="40">
        <v>0.11762171570000002</v>
      </c>
    </row>
    <row r="497" spans="1:12" hidden="1">
      <c r="A497" s="37" t="s">
        <v>1294</v>
      </c>
      <c r="B497" s="37"/>
      <c r="C497" s="37" t="s">
        <v>811</v>
      </c>
      <c r="D497" s="64">
        <v>25111</v>
      </c>
      <c r="E497" s="38">
        <v>1.97</v>
      </c>
      <c r="F497" s="39">
        <v>17.323668999999999</v>
      </c>
      <c r="G497" s="38">
        <v>0.28340083999999999</v>
      </c>
      <c r="H497" s="38">
        <v>0.18549789</v>
      </c>
      <c r="I497" s="38">
        <v>0.22386946999999999</v>
      </c>
      <c r="J497" s="38">
        <v>3.7768032999999999E-2</v>
      </c>
      <c r="K497" s="38">
        <v>1.7696322E-2</v>
      </c>
      <c r="L497" s="40">
        <v>18.071901554999997</v>
      </c>
    </row>
    <row r="498" spans="1:12" hidden="1">
      <c r="A498" s="37" t="s">
        <v>1295</v>
      </c>
      <c r="B498" s="37"/>
      <c r="C498" s="37" t="s">
        <v>826</v>
      </c>
      <c r="D498" s="64">
        <v>26236</v>
      </c>
      <c r="E498" s="38">
        <v>3.57</v>
      </c>
      <c r="F498" s="39">
        <v>1.053947</v>
      </c>
      <c r="G498" s="38">
        <v>0</v>
      </c>
      <c r="H498" s="38">
        <v>0.27530876999999998</v>
      </c>
      <c r="I498" s="38">
        <v>0.87421431999999999</v>
      </c>
      <c r="J498" s="38">
        <v>3.7353873000000003E-2</v>
      </c>
      <c r="K498" s="38">
        <v>6.6736979E-3</v>
      </c>
      <c r="L498" s="40">
        <v>2.2474976609000001</v>
      </c>
    </row>
    <row r="499" spans="1:12" hidden="1">
      <c r="A499" s="37" t="s">
        <v>1296</v>
      </c>
      <c r="B499" s="37"/>
      <c r="C499" s="37" t="s">
        <v>826</v>
      </c>
      <c r="D499" s="64">
        <v>26235</v>
      </c>
      <c r="E499" s="38">
        <v>3.57</v>
      </c>
      <c r="F499" s="39">
        <v>1.053947</v>
      </c>
      <c r="G499" s="38">
        <v>0</v>
      </c>
      <c r="H499" s="38">
        <v>0.27530876999999998</v>
      </c>
      <c r="I499" s="38">
        <v>0.87421431999999999</v>
      </c>
      <c r="J499" s="38">
        <v>3.7353873000000003E-2</v>
      </c>
      <c r="K499" s="38">
        <v>6.6736979E-3</v>
      </c>
      <c r="L499" s="40">
        <v>2.2474976609000001</v>
      </c>
    </row>
    <row r="500" spans="1:12" hidden="1">
      <c r="A500" s="37" t="s">
        <v>1297</v>
      </c>
      <c r="B500" s="37"/>
      <c r="C500" s="37" t="s">
        <v>826</v>
      </c>
      <c r="D500" s="64">
        <v>26113</v>
      </c>
      <c r="E500" s="38">
        <v>3.57</v>
      </c>
      <c r="F500" s="39">
        <v>1.053947</v>
      </c>
      <c r="G500" s="38">
        <v>0</v>
      </c>
      <c r="H500" s="38">
        <v>0.27530876999999998</v>
      </c>
      <c r="I500" s="38">
        <v>0.87421431999999999</v>
      </c>
      <c r="J500" s="38">
        <v>3.7353873000000003E-2</v>
      </c>
      <c r="K500" s="38">
        <v>6.6736979E-3</v>
      </c>
      <c r="L500" s="40">
        <v>2.2474976609000001</v>
      </c>
    </row>
    <row r="501" spans="1:12" hidden="1">
      <c r="A501" s="37" t="s">
        <v>1298</v>
      </c>
      <c r="B501" s="37"/>
      <c r="C501" s="37" t="s">
        <v>631</v>
      </c>
      <c r="D501" s="64">
        <v>30115</v>
      </c>
      <c r="E501" s="38">
        <v>2.4700000000000002</v>
      </c>
      <c r="F501" s="39">
        <v>4.2356286000000001</v>
      </c>
      <c r="G501" s="38">
        <v>0.25164847000000001</v>
      </c>
      <c r="H501" s="38">
        <v>0.23047935999999999</v>
      </c>
      <c r="I501" s="38">
        <v>0.20081692000000001</v>
      </c>
      <c r="J501" s="38">
        <v>3.7353873000000003E-2</v>
      </c>
      <c r="K501" s="38">
        <v>6.6736979E-3</v>
      </c>
      <c r="L501" s="40">
        <v>4.9626009209000008</v>
      </c>
    </row>
    <row r="502" spans="1:12" hidden="1">
      <c r="A502" s="37" t="s">
        <v>1299</v>
      </c>
      <c r="B502" s="37"/>
      <c r="C502" s="37" t="s">
        <v>631</v>
      </c>
      <c r="D502" s="64">
        <v>30005</v>
      </c>
      <c r="E502" s="38">
        <v>2.4900000000000002</v>
      </c>
      <c r="F502" s="39">
        <v>5.6074210999999998</v>
      </c>
      <c r="G502" s="38">
        <v>0.33314982999999998</v>
      </c>
      <c r="H502" s="38">
        <v>0.30512467999999998</v>
      </c>
      <c r="I502" s="38">
        <v>0.26585546999999998</v>
      </c>
      <c r="J502" s="38">
        <v>4.9451666999999998E-2</v>
      </c>
      <c r="K502" s="38">
        <v>9.4725686000000003E-2</v>
      </c>
      <c r="L502" s="40">
        <v>6.6557284329999993</v>
      </c>
    </row>
    <row r="503" spans="1:12" hidden="1">
      <c r="A503" s="41" t="s">
        <v>1300</v>
      </c>
      <c r="B503" s="41"/>
      <c r="C503" s="41" t="s">
        <v>623</v>
      </c>
      <c r="D503" s="65">
        <v>38104</v>
      </c>
      <c r="E503" s="42">
        <v>2.58</v>
      </c>
      <c r="F503" s="43">
        <v>3.1439645000000001</v>
      </c>
      <c r="G503" s="42">
        <v>0.36048118000000001</v>
      </c>
      <c r="H503" s="42">
        <v>0.28118162000000002</v>
      </c>
      <c r="I503" s="42">
        <v>0.39253738999999999</v>
      </c>
      <c r="J503" s="42">
        <v>1.9437894000000001E-2</v>
      </c>
      <c r="K503" s="42">
        <v>0</v>
      </c>
      <c r="L503" s="44">
        <v>4.1976025840000002</v>
      </c>
    </row>
    <row r="504" spans="1:12" hidden="1">
      <c r="A504" s="37" t="s">
        <v>1301</v>
      </c>
      <c r="B504" s="37"/>
      <c r="C504" s="37" t="s">
        <v>623</v>
      </c>
      <c r="D504" s="64">
        <v>38105</v>
      </c>
      <c r="E504" s="38">
        <v>2.93</v>
      </c>
      <c r="F504" s="39">
        <v>0.82537492999999995</v>
      </c>
      <c r="G504" s="38">
        <v>0.2312449</v>
      </c>
      <c r="H504" s="38">
        <v>0.28118162000000002</v>
      </c>
      <c r="I504" s="38">
        <v>0.18400438</v>
      </c>
      <c r="J504" s="38">
        <v>1.9437894000000001E-2</v>
      </c>
      <c r="K504" s="38">
        <v>0</v>
      </c>
      <c r="L504" s="40">
        <v>1.5412437240000001</v>
      </c>
    </row>
    <row r="505" spans="1:12" hidden="1">
      <c r="A505" s="37" t="s">
        <v>1302</v>
      </c>
      <c r="B505" s="37"/>
      <c r="C505" s="37" t="s">
        <v>628</v>
      </c>
      <c r="D505" s="64">
        <v>4038</v>
      </c>
      <c r="E505" s="38">
        <v>2.4500000000000002</v>
      </c>
      <c r="F505" s="39">
        <v>0.82537492999999995</v>
      </c>
      <c r="G505" s="38">
        <v>0.2312449</v>
      </c>
      <c r="H505" s="38">
        <v>0.28118162000000002</v>
      </c>
      <c r="I505" s="38">
        <v>0.18400438</v>
      </c>
      <c r="J505" s="38">
        <v>1.9444221000000001E-2</v>
      </c>
      <c r="K505" s="38">
        <v>0</v>
      </c>
      <c r="L505" s="40">
        <v>1.5412500510000002</v>
      </c>
    </row>
    <row r="506" spans="1:12" hidden="1">
      <c r="A506" s="37" t="s">
        <v>1303</v>
      </c>
      <c r="B506" s="37"/>
      <c r="C506" s="37" t="s">
        <v>628</v>
      </c>
      <c r="D506" s="64">
        <v>4037</v>
      </c>
      <c r="E506" s="38">
        <v>2.4500000000000002</v>
      </c>
      <c r="F506" s="39">
        <v>0.82537492999999995</v>
      </c>
      <c r="G506" s="38">
        <v>0.2312449</v>
      </c>
      <c r="H506" s="38">
        <v>0.28118162000000002</v>
      </c>
      <c r="I506" s="38">
        <v>0.18400438</v>
      </c>
      <c r="J506" s="38">
        <v>1.9444221000000001E-2</v>
      </c>
      <c r="K506" s="38">
        <v>0</v>
      </c>
      <c r="L506" s="40">
        <v>1.5412500510000002</v>
      </c>
    </row>
    <row r="507" spans="1:12" hidden="1">
      <c r="A507" s="37" t="s">
        <v>1304</v>
      </c>
      <c r="B507" s="37"/>
      <c r="C507" s="37" t="s">
        <v>628</v>
      </c>
      <c r="D507" s="64">
        <v>4004</v>
      </c>
      <c r="E507" s="38">
        <v>2.4500000000000002</v>
      </c>
      <c r="F507" s="39">
        <v>0.82537492999999995</v>
      </c>
      <c r="G507" s="38">
        <v>0.2312449</v>
      </c>
      <c r="H507" s="38">
        <v>0.28118162000000002</v>
      </c>
      <c r="I507" s="38">
        <v>0.18400438</v>
      </c>
      <c r="J507" s="38">
        <v>1.9444221000000001E-2</v>
      </c>
      <c r="K507" s="38">
        <v>0</v>
      </c>
      <c r="L507" s="40">
        <v>1.5412500510000002</v>
      </c>
    </row>
    <row r="508" spans="1:12" hidden="1">
      <c r="A508" s="37" t="s">
        <v>1305</v>
      </c>
      <c r="B508" s="37"/>
      <c r="C508" s="37" t="s">
        <v>877</v>
      </c>
      <c r="D508" s="64">
        <v>31009</v>
      </c>
      <c r="E508" s="38">
        <v>2.99</v>
      </c>
      <c r="F508" s="39">
        <v>11.535064999999999</v>
      </c>
      <c r="G508" s="38">
        <v>0.56768384000000005</v>
      </c>
      <c r="H508" s="38">
        <v>0.10402936</v>
      </c>
      <c r="I508" s="38">
        <v>0.35193129000000001</v>
      </c>
      <c r="J508" s="38">
        <v>1.7263204000000001E-2</v>
      </c>
      <c r="K508" s="38">
        <v>0</v>
      </c>
      <c r="L508" s="40">
        <v>12.575972694000001</v>
      </c>
    </row>
    <row r="509" spans="1:12" hidden="1">
      <c r="A509" s="37" t="s">
        <v>1306</v>
      </c>
      <c r="B509" s="37"/>
      <c r="C509" s="37" t="s">
        <v>877</v>
      </c>
      <c r="D509" s="64">
        <v>31018</v>
      </c>
      <c r="E509" s="38">
        <v>2.99</v>
      </c>
      <c r="F509" s="39">
        <v>11.535064999999999</v>
      </c>
      <c r="G509" s="38">
        <v>0.56768384000000005</v>
      </c>
      <c r="H509" s="38">
        <v>0.10402936</v>
      </c>
      <c r="I509" s="38">
        <v>0.35193129000000001</v>
      </c>
      <c r="J509" s="38">
        <v>1.7263204000000001E-2</v>
      </c>
      <c r="K509" s="38">
        <v>0</v>
      </c>
      <c r="L509" s="40">
        <v>12.575972694000001</v>
      </c>
    </row>
    <row r="510" spans="1:12" hidden="1">
      <c r="A510" s="37" t="s">
        <v>1307</v>
      </c>
      <c r="B510" s="37"/>
      <c r="C510" s="37" t="s">
        <v>877</v>
      </c>
      <c r="D510" s="64">
        <v>31079</v>
      </c>
      <c r="E510" s="38">
        <v>2.99</v>
      </c>
      <c r="F510" s="39">
        <v>11.535064999999999</v>
      </c>
      <c r="G510" s="38">
        <v>0.56768384000000005</v>
      </c>
      <c r="H510" s="38">
        <v>0.10402936</v>
      </c>
      <c r="I510" s="38">
        <v>0.35193129000000001</v>
      </c>
      <c r="J510" s="38">
        <v>1.7263204000000001E-2</v>
      </c>
      <c r="K510" s="38">
        <v>0</v>
      </c>
      <c r="L510" s="40">
        <v>12.575972694000001</v>
      </c>
    </row>
    <row r="511" spans="1:12" hidden="1">
      <c r="A511" s="37" t="s">
        <v>1308</v>
      </c>
      <c r="B511" s="37"/>
      <c r="C511" s="37" t="s">
        <v>877</v>
      </c>
      <c r="D511" s="64">
        <v>31084</v>
      </c>
      <c r="E511" s="38">
        <v>2.99</v>
      </c>
      <c r="F511" s="39">
        <v>11.535064999999999</v>
      </c>
      <c r="G511" s="38">
        <v>0.56768384000000005</v>
      </c>
      <c r="H511" s="38">
        <v>0.10402936</v>
      </c>
      <c r="I511" s="38">
        <v>0.35193129000000001</v>
      </c>
      <c r="J511" s="38">
        <v>1.7263204000000001E-2</v>
      </c>
      <c r="K511" s="38">
        <v>0</v>
      </c>
      <c r="L511" s="40">
        <v>12.575972694000001</v>
      </c>
    </row>
    <row r="512" spans="1:12" hidden="1">
      <c r="A512" s="37" t="s">
        <v>1309</v>
      </c>
      <c r="B512" s="37"/>
      <c r="C512" s="37" t="s">
        <v>877</v>
      </c>
      <c r="D512" s="64">
        <v>31020</v>
      </c>
      <c r="E512" s="38">
        <v>2.99</v>
      </c>
      <c r="F512" s="39">
        <v>11.535064999999999</v>
      </c>
      <c r="G512" s="38">
        <v>0.56768384000000005</v>
      </c>
      <c r="H512" s="38">
        <v>0.10402936</v>
      </c>
      <c r="I512" s="38">
        <v>0.35193129000000001</v>
      </c>
      <c r="J512" s="38">
        <v>1.7263204000000001E-2</v>
      </c>
      <c r="K512" s="38">
        <v>0</v>
      </c>
      <c r="L512" s="40">
        <v>12.575972694000001</v>
      </c>
    </row>
    <row r="513" spans="1:12" hidden="1">
      <c r="A513" s="37" t="s">
        <v>1310</v>
      </c>
      <c r="B513" s="37"/>
      <c r="C513" s="37" t="s">
        <v>877</v>
      </c>
      <c r="D513" s="64">
        <v>31004</v>
      </c>
      <c r="E513" s="38">
        <v>2.99</v>
      </c>
      <c r="F513" s="39">
        <v>11.535064999999999</v>
      </c>
      <c r="G513" s="38">
        <v>0.56768384000000005</v>
      </c>
      <c r="H513" s="38">
        <v>0.10402936</v>
      </c>
      <c r="I513" s="38">
        <v>0.35193129000000001</v>
      </c>
      <c r="J513" s="38">
        <v>1.7263204000000001E-2</v>
      </c>
      <c r="K513" s="38">
        <v>0</v>
      </c>
      <c r="L513" s="40">
        <v>12.575972694000001</v>
      </c>
    </row>
    <row r="514" spans="1:12" hidden="1">
      <c r="A514" s="41" t="s">
        <v>1311</v>
      </c>
      <c r="B514" s="41"/>
      <c r="C514" s="41" t="s">
        <v>877</v>
      </c>
      <c r="D514" s="65">
        <v>31026</v>
      </c>
      <c r="E514" s="42">
        <v>2.99</v>
      </c>
      <c r="F514" s="43">
        <v>10.080548</v>
      </c>
      <c r="G514" s="42">
        <v>0.64238757999999996</v>
      </c>
      <c r="H514" s="42">
        <v>0.10402936</v>
      </c>
      <c r="I514" s="42">
        <v>0.33147103</v>
      </c>
      <c r="J514" s="42">
        <v>1.7263204000000001E-2</v>
      </c>
      <c r="K514" s="42">
        <v>0</v>
      </c>
      <c r="L514" s="44">
        <v>11.175699174</v>
      </c>
    </row>
    <row r="515" spans="1:12" hidden="1">
      <c r="A515" s="41" t="s">
        <v>1312</v>
      </c>
      <c r="B515" s="41"/>
      <c r="C515" s="41" t="s">
        <v>877</v>
      </c>
      <c r="D515" s="65">
        <v>31010</v>
      </c>
      <c r="E515" s="42">
        <v>2.29</v>
      </c>
      <c r="F515" s="43">
        <v>10.080548</v>
      </c>
      <c r="G515" s="42">
        <v>0.64238757999999996</v>
      </c>
      <c r="H515" s="42">
        <v>0.10402936</v>
      </c>
      <c r="I515" s="42">
        <v>0.33147103</v>
      </c>
      <c r="J515" s="42">
        <v>1.7263204000000001E-2</v>
      </c>
      <c r="K515" s="42">
        <v>0</v>
      </c>
      <c r="L515" s="44">
        <v>11.175699174</v>
      </c>
    </row>
    <row r="516" spans="1:12" hidden="1">
      <c r="A516" s="37" t="s">
        <v>1313</v>
      </c>
      <c r="B516" s="37"/>
      <c r="C516" s="37" t="s">
        <v>877</v>
      </c>
      <c r="D516" s="64">
        <v>31085</v>
      </c>
      <c r="E516" s="38">
        <v>2.99</v>
      </c>
      <c r="F516" s="39">
        <v>15.887772999999999</v>
      </c>
      <c r="G516" s="38">
        <v>0.45803597000000001</v>
      </c>
      <c r="H516" s="38">
        <v>0.10402936</v>
      </c>
      <c r="I516" s="38">
        <v>0.41148085000000001</v>
      </c>
      <c r="J516" s="38">
        <v>1.7263204000000001E-2</v>
      </c>
      <c r="K516" s="38">
        <v>0</v>
      </c>
      <c r="L516" s="40">
        <v>16.878582383999998</v>
      </c>
    </row>
    <row r="517" spans="1:12" hidden="1">
      <c r="A517" s="37" t="s">
        <v>1314</v>
      </c>
      <c r="B517" s="37"/>
      <c r="C517" s="37" t="s">
        <v>877</v>
      </c>
      <c r="D517" s="64">
        <v>31074</v>
      </c>
      <c r="E517" s="38">
        <v>2.99</v>
      </c>
      <c r="F517" s="39">
        <v>15.887772999999999</v>
      </c>
      <c r="G517" s="38">
        <v>0.45803597000000001</v>
      </c>
      <c r="H517" s="38">
        <v>0.10402936</v>
      </c>
      <c r="I517" s="38">
        <v>0.41148085000000001</v>
      </c>
      <c r="J517" s="38">
        <v>1.7263204000000001E-2</v>
      </c>
      <c r="K517" s="38">
        <v>0</v>
      </c>
      <c r="L517" s="40">
        <v>16.878582383999998</v>
      </c>
    </row>
    <row r="518" spans="1:12" hidden="1">
      <c r="A518" s="37" t="s">
        <v>1315</v>
      </c>
      <c r="B518" s="37"/>
      <c r="C518" s="37" t="s">
        <v>877</v>
      </c>
      <c r="D518" s="64">
        <v>31005</v>
      </c>
      <c r="E518" s="38">
        <v>2.99</v>
      </c>
      <c r="F518" s="39">
        <v>15.887772999999999</v>
      </c>
      <c r="G518" s="38">
        <v>0.45803597000000001</v>
      </c>
      <c r="H518" s="38">
        <v>0.10402936</v>
      </c>
      <c r="I518" s="38">
        <v>0.41148085000000001</v>
      </c>
      <c r="J518" s="38">
        <v>1.7263204000000001E-2</v>
      </c>
      <c r="K518" s="38">
        <v>0</v>
      </c>
      <c r="L518" s="40">
        <v>16.878582383999998</v>
      </c>
    </row>
    <row r="519" spans="1:12" hidden="1">
      <c r="A519" s="37" t="s">
        <v>1316</v>
      </c>
      <c r="B519" s="37"/>
      <c r="C519" s="37" t="s">
        <v>877</v>
      </c>
      <c r="D519" s="64">
        <v>31069</v>
      </c>
      <c r="E519" s="38">
        <v>2.4700000000000002</v>
      </c>
      <c r="F519" s="39">
        <v>3.6693368</v>
      </c>
      <c r="G519" s="38">
        <v>0.31545410000000002</v>
      </c>
      <c r="H519" s="38">
        <v>0.10402936</v>
      </c>
      <c r="I519" s="38">
        <v>0.20428451</v>
      </c>
      <c r="J519" s="38">
        <v>1.7263204000000001E-2</v>
      </c>
      <c r="K519" s="38">
        <v>0</v>
      </c>
      <c r="L519" s="40">
        <v>4.310367974</v>
      </c>
    </row>
    <row r="520" spans="1:12" hidden="1">
      <c r="A520" s="37" t="s">
        <v>1317</v>
      </c>
      <c r="B520" s="37"/>
      <c r="C520" s="37" t="s">
        <v>877</v>
      </c>
      <c r="D520" s="64">
        <v>31070</v>
      </c>
      <c r="E520" s="38">
        <v>3.34</v>
      </c>
      <c r="F520" s="39">
        <v>15.887772999999999</v>
      </c>
      <c r="G520" s="38">
        <v>0.45803597000000001</v>
      </c>
      <c r="H520" s="38">
        <v>0.10402936</v>
      </c>
      <c r="I520" s="38">
        <v>0.41148085000000001</v>
      </c>
      <c r="J520" s="38">
        <v>1.7263204000000001E-2</v>
      </c>
      <c r="K520" s="38">
        <v>0</v>
      </c>
      <c r="L520" s="40">
        <v>16.878582383999998</v>
      </c>
    </row>
    <row r="521" spans="1:12" hidden="1">
      <c r="A521" s="37" t="s">
        <v>1318</v>
      </c>
      <c r="B521" s="37"/>
      <c r="C521" s="37" t="s">
        <v>877</v>
      </c>
      <c r="D521" s="64">
        <v>31072</v>
      </c>
      <c r="E521" s="38">
        <v>3.34</v>
      </c>
      <c r="F521" s="39">
        <v>15.887772999999999</v>
      </c>
      <c r="G521" s="38">
        <v>0.45803597000000001</v>
      </c>
      <c r="H521" s="38">
        <v>0.10402936</v>
      </c>
      <c r="I521" s="38">
        <v>0.41148085000000001</v>
      </c>
      <c r="J521" s="38">
        <v>1.7263204000000001E-2</v>
      </c>
      <c r="K521" s="38">
        <v>0</v>
      </c>
      <c r="L521" s="40">
        <v>16.878582383999998</v>
      </c>
    </row>
    <row r="522" spans="1:12" hidden="1">
      <c r="A522" s="37" t="s">
        <v>1319</v>
      </c>
      <c r="B522" s="37"/>
      <c r="C522" s="37" t="s">
        <v>877</v>
      </c>
      <c r="D522" s="64">
        <v>31080</v>
      </c>
      <c r="E522" s="38">
        <v>3.34</v>
      </c>
      <c r="F522" s="39">
        <v>15.887772999999999</v>
      </c>
      <c r="G522" s="38">
        <v>0.45803597000000001</v>
      </c>
      <c r="H522" s="38">
        <v>0.10402936</v>
      </c>
      <c r="I522" s="38">
        <v>0.41148085000000001</v>
      </c>
      <c r="J522" s="38">
        <v>1.7263204000000001E-2</v>
      </c>
      <c r="K522" s="38">
        <v>0</v>
      </c>
      <c r="L522" s="40">
        <v>16.878582383999998</v>
      </c>
    </row>
    <row r="523" spans="1:12" hidden="1">
      <c r="A523" s="37" t="s">
        <v>1320</v>
      </c>
      <c r="B523" s="37"/>
      <c r="C523" s="37" t="s">
        <v>877</v>
      </c>
      <c r="D523" s="64">
        <v>31030</v>
      </c>
      <c r="E523" s="38">
        <v>3.34</v>
      </c>
      <c r="F523" s="39">
        <v>15.887772999999999</v>
      </c>
      <c r="G523" s="38">
        <v>0.45803597000000001</v>
      </c>
      <c r="H523" s="38">
        <v>0.10402936</v>
      </c>
      <c r="I523" s="38">
        <v>0.41148085000000001</v>
      </c>
      <c r="J523" s="38">
        <v>1.7263204000000001E-2</v>
      </c>
      <c r="K523" s="38">
        <v>0</v>
      </c>
      <c r="L523" s="40">
        <v>16.878582383999998</v>
      </c>
    </row>
    <row r="524" spans="1:12" hidden="1">
      <c r="A524" s="41" t="s">
        <v>1321</v>
      </c>
      <c r="B524" s="41"/>
      <c r="C524" s="41" t="s">
        <v>631</v>
      </c>
      <c r="D524" s="65">
        <v>30315</v>
      </c>
      <c r="E524" s="42">
        <v>2.5299999999999998</v>
      </c>
      <c r="F524" s="43">
        <v>4.9476452999999996</v>
      </c>
      <c r="G524" s="42">
        <v>0.63823974999999999</v>
      </c>
      <c r="H524" s="42">
        <v>9.8197302E-2</v>
      </c>
      <c r="I524" s="42">
        <v>0.20284341</v>
      </c>
      <c r="J524" s="42">
        <v>3.7353873000000003E-2</v>
      </c>
      <c r="K524" s="42">
        <v>9.2564276000000001E-2</v>
      </c>
      <c r="L524" s="44">
        <v>6.0168439109999996</v>
      </c>
    </row>
    <row r="525" spans="1:12" hidden="1">
      <c r="A525" s="41" t="s">
        <v>1322</v>
      </c>
      <c r="B525" s="41"/>
      <c r="C525" s="41" t="s">
        <v>631</v>
      </c>
      <c r="D525" s="65">
        <v>30317</v>
      </c>
      <c r="E525" s="42">
        <v>2.5299999999999998</v>
      </c>
      <c r="F525" s="43">
        <v>4.9476452999999996</v>
      </c>
      <c r="G525" s="42">
        <v>0.63823974999999999</v>
      </c>
      <c r="H525" s="42">
        <v>9.8197302E-2</v>
      </c>
      <c r="I525" s="42">
        <v>0.20284341</v>
      </c>
      <c r="J525" s="42">
        <v>3.7353873000000003E-2</v>
      </c>
      <c r="K525" s="42">
        <v>9.2564276000000001E-2</v>
      </c>
      <c r="L525" s="44">
        <v>6.0168439109999996</v>
      </c>
    </row>
    <row r="526" spans="1:12" hidden="1">
      <c r="A526" s="37" t="s">
        <v>1323</v>
      </c>
      <c r="B526" s="37"/>
      <c r="C526" s="37" t="s">
        <v>631</v>
      </c>
      <c r="D526" s="64">
        <v>30316</v>
      </c>
      <c r="E526" s="38">
        <v>2.5099999999999998</v>
      </c>
      <c r="F526" s="39">
        <v>4.9476452999999996</v>
      </c>
      <c r="G526" s="38">
        <v>0.63823974999999999</v>
      </c>
      <c r="H526" s="38">
        <v>9.8197302E-2</v>
      </c>
      <c r="I526" s="38">
        <v>0.20284341</v>
      </c>
      <c r="J526" s="38">
        <v>3.7353873000000003E-2</v>
      </c>
      <c r="K526" s="38">
        <v>6.6736979E-3</v>
      </c>
      <c r="L526" s="40">
        <v>5.9309533328999997</v>
      </c>
    </row>
    <row r="527" spans="1:12" hidden="1">
      <c r="A527" s="37" t="s">
        <v>1324</v>
      </c>
      <c r="B527" s="37"/>
      <c r="C527" s="37" t="s">
        <v>668</v>
      </c>
      <c r="D527" s="64">
        <v>23455</v>
      </c>
      <c r="E527" s="38">
        <v>3.02</v>
      </c>
      <c r="F527" s="39">
        <v>1.7846226000000001</v>
      </c>
      <c r="G527" s="38">
        <v>0.20938095000000001</v>
      </c>
      <c r="H527" s="38">
        <v>0.28781089999999998</v>
      </c>
      <c r="I527" s="38">
        <v>0.12173397</v>
      </c>
      <c r="J527" s="38">
        <v>1.9437894000000001E-2</v>
      </c>
      <c r="K527" s="38">
        <v>0</v>
      </c>
      <c r="L527" s="40">
        <v>2.4229863140000001</v>
      </c>
    </row>
    <row r="528" spans="1:12" hidden="1">
      <c r="A528" s="37" t="s">
        <v>1325</v>
      </c>
      <c r="B528" s="37"/>
      <c r="C528" s="37" t="s">
        <v>668</v>
      </c>
      <c r="D528" s="64">
        <v>23456</v>
      </c>
      <c r="E528" s="38">
        <v>2.63</v>
      </c>
      <c r="F528" s="39">
        <v>1.7846226000000001</v>
      </c>
      <c r="G528" s="38">
        <v>0.20938095000000001</v>
      </c>
      <c r="H528" s="38">
        <v>0.28781089999999998</v>
      </c>
      <c r="I528" s="38">
        <v>0.12173397</v>
      </c>
      <c r="J528" s="38">
        <v>1.9437894000000001E-2</v>
      </c>
      <c r="K528" s="38">
        <v>0</v>
      </c>
      <c r="L528" s="40">
        <v>2.4229863140000001</v>
      </c>
    </row>
    <row r="529" spans="1:12" hidden="1">
      <c r="A529" s="37" t="s">
        <v>1326</v>
      </c>
      <c r="B529" s="37"/>
      <c r="C529" s="37" t="s">
        <v>668</v>
      </c>
      <c r="D529" s="64">
        <v>23457</v>
      </c>
      <c r="E529" s="38">
        <v>2.13</v>
      </c>
      <c r="F529" s="39">
        <v>1.3849471</v>
      </c>
      <c r="G529" s="38">
        <v>0.18736206999999999</v>
      </c>
      <c r="H529" s="38">
        <v>0.28780692000000002</v>
      </c>
      <c r="I529" s="38">
        <v>0.12716464999999999</v>
      </c>
      <c r="J529" s="38">
        <v>1.9437894000000001E-2</v>
      </c>
      <c r="K529" s="38">
        <v>0</v>
      </c>
      <c r="L529" s="40">
        <v>2.0067186340000003</v>
      </c>
    </row>
    <row r="530" spans="1:12" hidden="1">
      <c r="A530" s="41" t="s">
        <v>1327</v>
      </c>
      <c r="B530" s="41"/>
      <c r="C530" s="41" t="s">
        <v>842</v>
      </c>
      <c r="D530" s="65">
        <v>20116</v>
      </c>
      <c r="E530" s="42">
        <v>2.38</v>
      </c>
      <c r="F530" s="43">
        <v>0.28872629999999999</v>
      </c>
      <c r="G530" s="42">
        <v>0</v>
      </c>
      <c r="H530" s="42">
        <v>0</v>
      </c>
      <c r="I530" s="42">
        <v>0.27356253000000003</v>
      </c>
      <c r="J530" s="42">
        <v>1.8180591999999999E-2</v>
      </c>
      <c r="K530" s="42">
        <v>8.0351048999999994E-2</v>
      </c>
      <c r="L530" s="44">
        <v>0.66082047099999996</v>
      </c>
    </row>
    <row r="531" spans="1:12" hidden="1">
      <c r="A531" s="37" t="s">
        <v>1328</v>
      </c>
      <c r="B531" s="37"/>
      <c r="C531" s="37" t="s">
        <v>842</v>
      </c>
      <c r="D531" s="64">
        <v>20221</v>
      </c>
      <c r="E531" s="38">
        <v>3</v>
      </c>
      <c r="F531" s="39">
        <v>0.41590721000000003</v>
      </c>
      <c r="G531" s="38">
        <v>0</v>
      </c>
      <c r="H531" s="38">
        <v>0.31466963999999997</v>
      </c>
      <c r="I531" s="38">
        <v>0.33358541000000003</v>
      </c>
      <c r="J531" s="38">
        <v>2.1234930999999999E-2</v>
      </c>
      <c r="K531" s="38">
        <v>0.20567787000000001</v>
      </c>
      <c r="L531" s="40">
        <v>1.2910750609999999</v>
      </c>
    </row>
    <row r="532" spans="1:12" hidden="1">
      <c r="A532" s="37" t="s">
        <v>1329</v>
      </c>
      <c r="B532" s="37"/>
      <c r="C532" s="37" t="s">
        <v>842</v>
      </c>
      <c r="D532" s="64">
        <v>20167</v>
      </c>
      <c r="E532" s="38">
        <v>2.6</v>
      </c>
      <c r="F532" s="39">
        <v>0.35608494000000002</v>
      </c>
      <c r="G532" s="38">
        <v>0</v>
      </c>
      <c r="H532" s="38">
        <v>0</v>
      </c>
      <c r="I532" s="38">
        <v>0.27356253000000003</v>
      </c>
      <c r="J532" s="38">
        <v>1.8180591999999999E-2</v>
      </c>
      <c r="K532" s="38">
        <v>0.21426945999999999</v>
      </c>
      <c r="L532" s="40">
        <v>0.86209752200000012</v>
      </c>
    </row>
    <row r="533" spans="1:12" hidden="1">
      <c r="A533" s="37" t="s">
        <v>1330</v>
      </c>
      <c r="B533" s="37"/>
      <c r="C533" s="37" t="s">
        <v>842</v>
      </c>
      <c r="D533" s="64">
        <v>20077</v>
      </c>
      <c r="E533" s="38">
        <v>3.1</v>
      </c>
      <c r="F533" s="39">
        <v>0.28627235000000001</v>
      </c>
      <c r="G533" s="38">
        <v>0.20504433</v>
      </c>
      <c r="H533" s="38">
        <v>0.25915577000000001</v>
      </c>
      <c r="I533" s="38">
        <v>0.32084227999999998</v>
      </c>
      <c r="J533" s="38">
        <v>2.3875550999999998E-2</v>
      </c>
      <c r="K533" s="38">
        <v>1.1022624E-2</v>
      </c>
      <c r="L533" s="40">
        <v>1.1062129049999998</v>
      </c>
    </row>
    <row r="534" spans="1:12" hidden="1">
      <c r="A534" s="37" t="s">
        <v>1331</v>
      </c>
      <c r="B534" s="37"/>
      <c r="C534" s="37" t="s">
        <v>842</v>
      </c>
      <c r="D534" s="64">
        <v>20058</v>
      </c>
      <c r="E534" s="38">
        <v>2.6</v>
      </c>
      <c r="F534" s="39">
        <v>0.31335475000000002</v>
      </c>
      <c r="G534" s="38">
        <v>0</v>
      </c>
      <c r="H534" s="38">
        <v>0</v>
      </c>
      <c r="I534" s="38">
        <v>0.24073502999999999</v>
      </c>
      <c r="J534" s="38">
        <v>1.5998920999999999E-2</v>
      </c>
      <c r="K534" s="38">
        <v>5.7299719000000002E-3</v>
      </c>
      <c r="L534" s="40">
        <v>0.57581867289999999</v>
      </c>
    </row>
    <row r="535" spans="1:12" hidden="1">
      <c r="A535" s="37" t="s">
        <v>1332</v>
      </c>
      <c r="B535" s="37"/>
      <c r="C535" s="37" t="s">
        <v>842</v>
      </c>
      <c r="D535" s="64">
        <v>20013</v>
      </c>
      <c r="E535" s="38">
        <v>3</v>
      </c>
      <c r="F535" s="39">
        <v>0.36975860999999999</v>
      </c>
      <c r="G535" s="38">
        <v>0</v>
      </c>
      <c r="H535" s="38">
        <v>0.24240544999999999</v>
      </c>
      <c r="I535" s="38">
        <v>0.29649297000000002</v>
      </c>
      <c r="J535" s="38">
        <v>1.8878727000000001E-2</v>
      </c>
      <c r="K535" s="38">
        <v>0.12807962000000001</v>
      </c>
      <c r="L535" s="40">
        <v>1.0556153770000001</v>
      </c>
    </row>
    <row r="536" spans="1:12" hidden="1">
      <c r="A536" s="37" t="s">
        <v>1333</v>
      </c>
      <c r="B536" s="37"/>
      <c r="C536" s="37" t="s">
        <v>842</v>
      </c>
      <c r="D536" s="64">
        <v>20206</v>
      </c>
      <c r="E536" s="38">
        <v>3.1</v>
      </c>
      <c r="F536" s="39">
        <v>0.28342937000000001</v>
      </c>
      <c r="G536" s="38">
        <v>9.1766547000000004E-2</v>
      </c>
      <c r="H536" s="38">
        <v>0.26232822</v>
      </c>
      <c r="I536" s="38">
        <v>0.21372579999999999</v>
      </c>
      <c r="J536" s="38">
        <v>6.8654974999999993E-2</v>
      </c>
      <c r="K536" s="38">
        <v>2.5251829999999999E-2</v>
      </c>
      <c r="L536" s="40">
        <v>0.94515674199999988</v>
      </c>
    </row>
    <row r="537" spans="1:12" hidden="1">
      <c r="A537" s="37" t="s">
        <v>1334</v>
      </c>
      <c r="B537" s="37"/>
      <c r="C537" s="37" t="s">
        <v>842</v>
      </c>
      <c r="D537" s="64">
        <v>20207</v>
      </c>
      <c r="E537" s="38">
        <v>3.19</v>
      </c>
      <c r="F537" s="39">
        <v>0.33108178999999999</v>
      </c>
      <c r="G537" s="38">
        <v>0.10719508</v>
      </c>
      <c r="H537" s="38">
        <v>0.30643294999999998</v>
      </c>
      <c r="I537" s="38">
        <v>0.24965909999999999</v>
      </c>
      <c r="J537" s="38">
        <v>8.01978E-2</v>
      </c>
      <c r="K537" s="38">
        <v>0.1240069</v>
      </c>
      <c r="L537" s="40">
        <v>1.1985736199999999</v>
      </c>
    </row>
    <row r="538" spans="1:12" hidden="1">
      <c r="A538" s="41" t="s">
        <v>1335</v>
      </c>
      <c r="B538" s="41"/>
      <c r="C538" s="41" t="s">
        <v>811</v>
      </c>
      <c r="D538" s="65">
        <v>25106</v>
      </c>
      <c r="E538" s="42">
        <v>2.42</v>
      </c>
      <c r="F538" s="43">
        <v>3.2171351000000001</v>
      </c>
      <c r="G538" s="42">
        <v>0.43564120000000001</v>
      </c>
      <c r="H538" s="42">
        <v>0.29934290000000002</v>
      </c>
      <c r="I538" s="42">
        <v>0.22386575</v>
      </c>
      <c r="J538" s="42">
        <v>3.7768032999999999E-2</v>
      </c>
      <c r="K538" s="42">
        <v>1.7696322E-2</v>
      </c>
      <c r="L538" s="44">
        <v>4.2314493049999999</v>
      </c>
    </row>
    <row r="539" spans="1:12" hidden="1">
      <c r="A539" s="37" t="s">
        <v>1336</v>
      </c>
      <c r="B539" s="37"/>
      <c r="C539" s="37" t="s">
        <v>842</v>
      </c>
      <c r="D539" s="64">
        <v>20218</v>
      </c>
      <c r="E539" s="38">
        <v>2.6</v>
      </c>
      <c r="F539" s="39">
        <v>0.35608494000000002</v>
      </c>
      <c r="G539" s="38">
        <v>0</v>
      </c>
      <c r="H539" s="38">
        <v>0</v>
      </c>
      <c r="I539" s="38">
        <v>0.27356253000000003</v>
      </c>
      <c r="J539" s="38">
        <v>1.8180591999999999E-2</v>
      </c>
      <c r="K539" s="38">
        <v>8.0351048999999994E-2</v>
      </c>
      <c r="L539" s="40">
        <v>0.7281791110000001</v>
      </c>
    </row>
    <row r="540" spans="1:12" hidden="1">
      <c r="A540" s="37" t="s">
        <v>1337</v>
      </c>
      <c r="B540" s="37"/>
      <c r="C540" s="37" t="s">
        <v>842</v>
      </c>
      <c r="D540" s="64">
        <v>20219</v>
      </c>
      <c r="E540" s="38">
        <v>3</v>
      </c>
      <c r="F540" s="39">
        <v>0.41595280000000001</v>
      </c>
      <c r="G540" s="38">
        <v>0</v>
      </c>
      <c r="H540" s="38">
        <v>0.28002042999999999</v>
      </c>
      <c r="I540" s="38">
        <v>0.3335497</v>
      </c>
      <c r="J540" s="38">
        <v>2.1237259000000001E-2</v>
      </c>
      <c r="K540" s="38">
        <v>0.19993026999999999</v>
      </c>
      <c r="L540" s="40">
        <v>1.2506904590000001</v>
      </c>
    </row>
    <row r="541" spans="1:12" hidden="1">
      <c r="A541" s="41" t="s">
        <v>1338</v>
      </c>
      <c r="B541" s="41"/>
      <c r="C541" s="41" t="s">
        <v>842</v>
      </c>
      <c r="D541" s="65">
        <v>20280</v>
      </c>
      <c r="E541" s="42">
        <v>2.5499999999999998</v>
      </c>
      <c r="F541" s="43">
        <v>0.35608494000000002</v>
      </c>
      <c r="G541" s="42">
        <v>0</v>
      </c>
      <c r="H541" s="42">
        <v>0</v>
      </c>
      <c r="I541" s="42">
        <v>0.27356253000000003</v>
      </c>
      <c r="J541" s="42">
        <v>2.5513693E-2</v>
      </c>
      <c r="K541" s="42">
        <v>8.0351048999999994E-2</v>
      </c>
      <c r="L541" s="44">
        <v>0.73551221200000005</v>
      </c>
    </row>
    <row r="542" spans="1:12" hidden="1">
      <c r="A542" s="41" t="s">
        <v>1339</v>
      </c>
      <c r="B542" s="41"/>
      <c r="C542" s="41" t="s">
        <v>842</v>
      </c>
      <c r="D542" s="65">
        <v>20095</v>
      </c>
      <c r="E542" s="42">
        <v>2.75</v>
      </c>
      <c r="F542" s="43">
        <v>0.42701136000000001</v>
      </c>
      <c r="G542" s="42">
        <v>0</v>
      </c>
      <c r="H542" s="42">
        <v>0.31466963999999997</v>
      </c>
      <c r="I542" s="42">
        <v>0.33358541000000003</v>
      </c>
      <c r="J542" s="42">
        <v>2.1234930999999999E-2</v>
      </c>
      <c r="K542" s="42">
        <v>0.20567787000000001</v>
      </c>
      <c r="L542" s="44">
        <v>1.3021792109999999</v>
      </c>
    </row>
    <row r="543" spans="1:12" hidden="1">
      <c r="A543" s="41" t="s">
        <v>1340</v>
      </c>
      <c r="B543" s="41"/>
      <c r="C543" s="41" t="s">
        <v>842</v>
      </c>
      <c r="D543" s="65">
        <v>20014</v>
      </c>
      <c r="E543" s="42">
        <v>2.38</v>
      </c>
      <c r="F543" s="43">
        <v>0.36559192000000001</v>
      </c>
      <c r="G543" s="42">
        <v>0</v>
      </c>
      <c r="H543" s="42">
        <v>0</v>
      </c>
      <c r="I543" s="42">
        <v>0.27356253000000003</v>
      </c>
      <c r="J543" s="42">
        <v>1.8180591999999999E-2</v>
      </c>
      <c r="K543" s="42">
        <v>0.20512844999999999</v>
      </c>
      <c r="L543" s="44">
        <v>0.86246349200000005</v>
      </c>
    </row>
    <row r="544" spans="1:12" hidden="1">
      <c r="A544" s="37" t="s">
        <v>1341</v>
      </c>
      <c r="B544" s="37"/>
      <c r="C544" s="37" t="s">
        <v>842</v>
      </c>
      <c r="D544" s="64">
        <v>20069</v>
      </c>
      <c r="E544" s="38">
        <v>2.6</v>
      </c>
      <c r="F544" s="39">
        <v>0.35608494000000002</v>
      </c>
      <c r="G544" s="38">
        <v>0</v>
      </c>
      <c r="H544" s="38">
        <v>0</v>
      </c>
      <c r="I544" s="38">
        <v>0.27356253000000003</v>
      </c>
      <c r="J544" s="38">
        <v>1.8180591999999999E-2</v>
      </c>
      <c r="K544" s="38">
        <v>0.21426945999999999</v>
      </c>
      <c r="L544" s="40">
        <v>0.86209752200000012</v>
      </c>
    </row>
    <row r="545" spans="1:12" hidden="1">
      <c r="A545" s="37" t="s">
        <v>1342</v>
      </c>
      <c r="B545" s="37"/>
      <c r="C545" s="37" t="s">
        <v>842</v>
      </c>
      <c r="D545" s="64">
        <v>20015</v>
      </c>
      <c r="E545" s="38">
        <v>2.86</v>
      </c>
      <c r="F545" s="39">
        <v>0.41590721000000003</v>
      </c>
      <c r="G545" s="38">
        <v>0</v>
      </c>
      <c r="H545" s="38">
        <v>0.31466963999999997</v>
      </c>
      <c r="I545" s="38">
        <v>0.33358541000000003</v>
      </c>
      <c r="J545" s="38">
        <v>2.1234930999999999E-2</v>
      </c>
      <c r="K545" s="38">
        <v>0.20567787000000001</v>
      </c>
      <c r="L545" s="40">
        <v>1.2910750609999999</v>
      </c>
    </row>
    <row r="546" spans="1:12" hidden="1">
      <c r="A546" s="41" t="s">
        <v>1343</v>
      </c>
      <c r="B546" s="41"/>
      <c r="C546" s="41" t="s">
        <v>811</v>
      </c>
      <c r="D546" s="65">
        <v>25003</v>
      </c>
      <c r="E546" s="42">
        <v>2.38</v>
      </c>
      <c r="F546" s="43">
        <v>1.3549165999999999</v>
      </c>
      <c r="G546" s="42">
        <v>0.37583894000000001</v>
      </c>
      <c r="H546" s="42">
        <v>0.2355207</v>
      </c>
      <c r="I546" s="42">
        <v>0.21874275000000001</v>
      </c>
      <c r="J546" s="42">
        <v>3.7768032999999999E-2</v>
      </c>
      <c r="K546" s="42">
        <v>1.7696322E-2</v>
      </c>
      <c r="L546" s="44">
        <v>2.2404833449999995</v>
      </c>
    </row>
    <row r="547" spans="1:12" hidden="1">
      <c r="A547" s="41" t="s">
        <v>1344</v>
      </c>
      <c r="B547" s="41"/>
      <c r="C547" s="41" t="s">
        <v>811</v>
      </c>
      <c r="D547" s="65">
        <v>25220</v>
      </c>
      <c r="E547" s="42">
        <v>3.05</v>
      </c>
      <c r="F547" s="43">
        <v>0.32003030999999998</v>
      </c>
      <c r="G547" s="42">
        <v>0.20359606</v>
      </c>
      <c r="H547" s="42">
        <v>0.18549789</v>
      </c>
      <c r="I547" s="42">
        <v>0.23203387</v>
      </c>
      <c r="J547" s="42">
        <v>3.7768032999999999E-2</v>
      </c>
      <c r="K547" s="42">
        <v>1.7696322E-2</v>
      </c>
      <c r="L547" s="44">
        <v>0.99662248500000006</v>
      </c>
    </row>
    <row r="548" spans="1:12" hidden="1">
      <c r="A548" s="37" t="s">
        <v>1345</v>
      </c>
      <c r="B548" s="37"/>
      <c r="C548" s="37" t="s">
        <v>842</v>
      </c>
      <c r="D548" s="64">
        <v>20016</v>
      </c>
      <c r="E548" s="38">
        <v>2.09</v>
      </c>
      <c r="F548" s="39">
        <v>0.35608494000000002</v>
      </c>
      <c r="G548" s="38">
        <v>0</v>
      </c>
      <c r="H548" s="38">
        <v>0</v>
      </c>
      <c r="I548" s="38">
        <v>0.27356253000000003</v>
      </c>
      <c r="J548" s="38">
        <v>2.5513693E-2</v>
      </c>
      <c r="K548" s="38">
        <v>8.0351048999999994E-2</v>
      </c>
      <c r="L548" s="40">
        <v>0.73551221200000005</v>
      </c>
    </row>
    <row r="549" spans="1:12" hidden="1">
      <c r="A549" s="37" t="s">
        <v>1346</v>
      </c>
      <c r="B549" s="37"/>
      <c r="C549" s="37" t="s">
        <v>842</v>
      </c>
      <c r="D549" s="64">
        <v>20017</v>
      </c>
      <c r="E549" s="38">
        <v>2.75</v>
      </c>
      <c r="F549" s="39">
        <v>0.36975860999999999</v>
      </c>
      <c r="G549" s="38">
        <v>0</v>
      </c>
      <c r="H549" s="38">
        <v>0.24240544999999999</v>
      </c>
      <c r="I549" s="38">
        <v>0.29649297000000002</v>
      </c>
      <c r="J549" s="38">
        <v>2.6493418000000001E-2</v>
      </c>
      <c r="K549" s="38">
        <v>0.17629025000000001</v>
      </c>
      <c r="L549" s="40">
        <v>1.1114406980000002</v>
      </c>
    </row>
    <row r="550" spans="1:12" hidden="1">
      <c r="A550" s="37" t="s">
        <v>1347</v>
      </c>
      <c r="B550" s="37"/>
      <c r="C550" s="37" t="s">
        <v>842</v>
      </c>
      <c r="D550" s="64">
        <v>20082</v>
      </c>
      <c r="E550" s="38">
        <v>2.64</v>
      </c>
      <c r="F550" s="39">
        <v>0.32207882999999998</v>
      </c>
      <c r="G550" s="38">
        <v>0.12037794</v>
      </c>
      <c r="H550" s="38">
        <v>0.26232822</v>
      </c>
      <c r="I550" s="38">
        <v>0.21781585000000001</v>
      </c>
      <c r="J550" s="38">
        <v>6.8654974999999993E-2</v>
      </c>
      <c r="K550" s="38">
        <v>2.5251829999999999E-2</v>
      </c>
      <c r="L550" s="40">
        <v>1.0165076450000001</v>
      </c>
    </row>
    <row r="551" spans="1:12" hidden="1">
      <c r="A551" s="37" t="s">
        <v>1348</v>
      </c>
      <c r="B551" s="37"/>
      <c r="C551" s="37" t="s">
        <v>842</v>
      </c>
      <c r="D551" s="64">
        <v>20122</v>
      </c>
      <c r="E551" s="38">
        <v>2.95</v>
      </c>
      <c r="F551" s="39">
        <v>0.37622930999999998</v>
      </c>
      <c r="G551" s="38">
        <v>0.14061684999999999</v>
      </c>
      <c r="H551" s="38">
        <v>0.30643294999999998</v>
      </c>
      <c r="I551" s="38">
        <v>0.25443680000000002</v>
      </c>
      <c r="J551" s="38">
        <v>8.01978E-2</v>
      </c>
      <c r="K551" s="38">
        <v>0.1240069</v>
      </c>
      <c r="L551" s="40">
        <v>1.2819206099999998</v>
      </c>
    </row>
    <row r="552" spans="1:12" hidden="1">
      <c r="A552" s="37" t="s">
        <v>1349</v>
      </c>
      <c r="B552" s="37"/>
      <c r="C552" s="37" t="s">
        <v>861</v>
      </c>
      <c r="D552" s="64">
        <v>23467</v>
      </c>
      <c r="E552" s="38">
        <v>2.13</v>
      </c>
      <c r="F552" s="39">
        <v>1.5728591000000001</v>
      </c>
      <c r="G552" s="38">
        <v>0.21302239000000001</v>
      </c>
      <c r="H552" s="38">
        <v>0.28781404999999999</v>
      </c>
      <c r="I552" s="38">
        <v>0.12655714000000001</v>
      </c>
      <c r="J552" s="38">
        <v>4.7861880000000002E-3</v>
      </c>
      <c r="K552" s="38">
        <v>0</v>
      </c>
      <c r="L552" s="40">
        <v>2.2050388680000004</v>
      </c>
    </row>
    <row r="553" spans="1:12" hidden="1">
      <c r="A553" s="37" t="s">
        <v>1350</v>
      </c>
      <c r="B553" s="37"/>
      <c r="C553" s="37" t="s">
        <v>842</v>
      </c>
      <c r="D553" s="64">
        <v>20094</v>
      </c>
      <c r="E553" s="38">
        <v>2.86</v>
      </c>
      <c r="F553" s="39">
        <v>0.41595280000000001</v>
      </c>
      <c r="G553" s="38">
        <v>0</v>
      </c>
      <c r="H553" s="38">
        <v>0.28002042999999999</v>
      </c>
      <c r="I553" s="38">
        <v>0.3335497</v>
      </c>
      <c r="J553" s="38">
        <v>1.4618709000000001E-2</v>
      </c>
      <c r="K553" s="38">
        <v>0.19993026999999999</v>
      </c>
      <c r="L553" s="40">
        <v>1.2440719090000001</v>
      </c>
    </row>
    <row r="554" spans="1:12" hidden="1">
      <c r="A554" s="41" t="s">
        <v>1351</v>
      </c>
      <c r="B554" s="41"/>
      <c r="C554" s="41" t="s">
        <v>842</v>
      </c>
      <c r="D554" s="65">
        <v>20065</v>
      </c>
      <c r="E554" s="42">
        <v>2.7</v>
      </c>
      <c r="F554" s="43">
        <v>9.1697658000000001E-2</v>
      </c>
      <c r="G554" s="42">
        <v>0</v>
      </c>
      <c r="H554" s="42">
        <v>0</v>
      </c>
      <c r="I554" s="42">
        <v>0.27356253000000003</v>
      </c>
      <c r="J554" s="42">
        <v>1.2514646000000001E-2</v>
      </c>
      <c r="K554" s="42">
        <v>8.0351048999999994E-2</v>
      </c>
      <c r="L554" s="44">
        <v>0.45812588300000007</v>
      </c>
    </row>
    <row r="555" spans="1:12" hidden="1">
      <c r="A555" s="37" t="s">
        <v>1352</v>
      </c>
      <c r="B555" s="37"/>
      <c r="C555" s="37" t="s">
        <v>807</v>
      </c>
      <c r="D555" s="64">
        <v>11003</v>
      </c>
      <c r="E555" s="38">
        <v>3.75</v>
      </c>
      <c r="F555" s="39">
        <v>8.4945521999999996E-2</v>
      </c>
      <c r="G555" s="38">
        <v>0</v>
      </c>
      <c r="H555" s="38">
        <v>0.32904318999999999</v>
      </c>
      <c r="I555" s="38">
        <v>0.16258027</v>
      </c>
      <c r="J555" s="38">
        <v>1.9594963E-2</v>
      </c>
      <c r="K555" s="38">
        <v>8.0351048999999994E-2</v>
      </c>
      <c r="L555" s="40">
        <v>0.67651499399999993</v>
      </c>
    </row>
    <row r="556" spans="1:12" hidden="1">
      <c r="A556" s="37" t="s">
        <v>1353</v>
      </c>
      <c r="B556" s="37"/>
      <c r="C556" s="37" t="s">
        <v>657</v>
      </c>
      <c r="D556" s="64">
        <v>5022</v>
      </c>
      <c r="E556" s="38">
        <v>2.89</v>
      </c>
      <c r="F556" s="39">
        <v>0.12445426</v>
      </c>
      <c r="G556" s="38">
        <v>0.11571353</v>
      </c>
      <c r="H556" s="38">
        <v>0.47782284000000003</v>
      </c>
      <c r="I556" s="38">
        <v>0.30229166000000002</v>
      </c>
      <c r="J556" s="38">
        <v>3.5836186999999999E-2</v>
      </c>
      <c r="K556" s="38">
        <v>6.6736979E-3</v>
      </c>
      <c r="L556" s="40">
        <v>1.0627921749</v>
      </c>
    </row>
    <row r="557" spans="1:12" hidden="1">
      <c r="A557" s="37" t="s">
        <v>1354</v>
      </c>
      <c r="B557" s="37"/>
      <c r="C557" s="37" t="s">
        <v>657</v>
      </c>
      <c r="D557" s="64">
        <v>5021</v>
      </c>
      <c r="E557" s="38">
        <v>2.89</v>
      </c>
      <c r="F557" s="39">
        <v>0.12445426</v>
      </c>
      <c r="G557" s="38">
        <v>0.11571353</v>
      </c>
      <c r="H557" s="38">
        <v>0.47782284000000003</v>
      </c>
      <c r="I557" s="38">
        <v>0.30229166000000002</v>
      </c>
      <c r="J557" s="38">
        <v>3.5836186999999999E-2</v>
      </c>
      <c r="K557" s="38">
        <v>6.6736979E-3</v>
      </c>
      <c r="L557" s="40">
        <v>1.0627921749</v>
      </c>
    </row>
    <row r="558" spans="1:12" hidden="1">
      <c r="A558" s="37" t="s">
        <v>1355</v>
      </c>
      <c r="B558" s="37"/>
      <c r="C558" s="37" t="s">
        <v>657</v>
      </c>
      <c r="D558" s="64">
        <v>5006</v>
      </c>
      <c r="E558" s="38">
        <v>2.89</v>
      </c>
      <c r="F558" s="39">
        <v>0.12445426</v>
      </c>
      <c r="G558" s="38">
        <v>0.11571353</v>
      </c>
      <c r="H558" s="38">
        <v>0.47782284000000003</v>
      </c>
      <c r="I558" s="38">
        <v>0.30229166000000002</v>
      </c>
      <c r="J558" s="38">
        <v>3.5836186999999999E-2</v>
      </c>
      <c r="K558" s="38">
        <v>6.6736979E-3</v>
      </c>
      <c r="L558" s="40">
        <v>1.0627921749</v>
      </c>
    </row>
    <row r="559" spans="1:12" hidden="1">
      <c r="A559" s="37" t="s">
        <v>1356</v>
      </c>
      <c r="B559" s="37"/>
      <c r="C559" s="37" t="s">
        <v>657</v>
      </c>
      <c r="D559" s="64">
        <v>5007</v>
      </c>
      <c r="E559" s="38">
        <v>2.89</v>
      </c>
      <c r="F559" s="39">
        <v>0.12445426</v>
      </c>
      <c r="G559" s="38">
        <v>0.11571353</v>
      </c>
      <c r="H559" s="38">
        <v>0.47782284000000003</v>
      </c>
      <c r="I559" s="38">
        <v>0.30229166000000002</v>
      </c>
      <c r="J559" s="38">
        <v>3.5836186999999999E-2</v>
      </c>
      <c r="K559" s="38">
        <v>6.6736979E-3</v>
      </c>
      <c r="L559" s="40">
        <v>1.0627921749</v>
      </c>
    </row>
    <row r="560" spans="1:12" hidden="1">
      <c r="A560" s="37" t="s">
        <v>1357</v>
      </c>
      <c r="B560" s="37"/>
      <c r="C560" s="37" t="s">
        <v>657</v>
      </c>
      <c r="D560" s="64">
        <v>5020</v>
      </c>
      <c r="E560" s="38">
        <v>2.89</v>
      </c>
      <c r="F560" s="39">
        <v>0.12445426</v>
      </c>
      <c r="G560" s="38">
        <v>0.11571353</v>
      </c>
      <c r="H560" s="38">
        <v>0.47782284000000003</v>
      </c>
      <c r="I560" s="38">
        <v>0.30229166000000002</v>
      </c>
      <c r="J560" s="38">
        <v>3.5836186999999999E-2</v>
      </c>
      <c r="K560" s="38">
        <v>6.6736979E-3</v>
      </c>
      <c r="L560" s="40">
        <v>1.0627921749</v>
      </c>
    </row>
    <row r="561" spans="1:12" hidden="1">
      <c r="A561" s="41" t="s">
        <v>1358</v>
      </c>
      <c r="B561" s="41"/>
      <c r="C561" s="41" t="s">
        <v>623</v>
      </c>
      <c r="D561" s="65">
        <v>24360</v>
      </c>
      <c r="E561" s="42">
        <v>2.4900000000000002</v>
      </c>
      <c r="F561" s="43">
        <v>4.8839572999999996</v>
      </c>
      <c r="G561" s="42">
        <v>0.28339723</v>
      </c>
      <c r="H561" s="42">
        <v>0.10985644999999999</v>
      </c>
      <c r="I561" s="42">
        <v>0.16499844999999999</v>
      </c>
      <c r="J561" s="42">
        <v>1.9437894000000001E-2</v>
      </c>
      <c r="K561" s="42">
        <v>0</v>
      </c>
      <c r="L561" s="44">
        <v>5.4616473239999994</v>
      </c>
    </row>
    <row r="562" spans="1:12" hidden="1">
      <c r="A562" s="37" t="s">
        <v>1359</v>
      </c>
      <c r="B562" s="37"/>
      <c r="C562" s="37" t="s">
        <v>1151</v>
      </c>
      <c r="D562" s="64">
        <v>39530</v>
      </c>
      <c r="E562" s="38">
        <v>3.45</v>
      </c>
      <c r="F562" s="39">
        <v>1.0539407999999999</v>
      </c>
      <c r="G562" s="38">
        <v>0.21512698</v>
      </c>
      <c r="H562" s="38">
        <v>0.18042667000000001</v>
      </c>
      <c r="I562" s="38">
        <v>0.19674195</v>
      </c>
      <c r="J562" s="38">
        <v>6.5229756E-2</v>
      </c>
      <c r="K562" s="38">
        <v>2.5251829999999999E-2</v>
      </c>
      <c r="L562" s="40">
        <v>1.7367179859999999</v>
      </c>
    </row>
    <row r="563" spans="1:12" hidden="1">
      <c r="A563" s="37" t="s">
        <v>1360</v>
      </c>
      <c r="B563" s="37"/>
      <c r="C563" s="37" t="s">
        <v>650</v>
      </c>
      <c r="D563" s="64">
        <v>18220</v>
      </c>
      <c r="E563" s="38">
        <v>2.41</v>
      </c>
      <c r="F563" s="39">
        <v>0.1272124</v>
      </c>
      <c r="G563" s="38">
        <v>3.7815595E-2</v>
      </c>
      <c r="H563" s="38">
        <v>0.47782284000000003</v>
      </c>
      <c r="I563" s="38">
        <v>0.18774729000000001</v>
      </c>
      <c r="J563" s="38">
        <v>1.5350219999999999E-2</v>
      </c>
      <c r="K563" s="38">
        <v>0</v>
      </c>
      <c r="L563" s="40">
        <v>0.84594834500000005</v>
      </c>
    </row>
    <row r="564" spans="1:12" hidden="1">
      <c r="A564" s="37" t="s">
        <v>1361</v>
      </c>
      <c r="B564" s="37"/>
      <c r="C564" s="37" t="s">
        <v>634</v>
      </c>
      <c r="D564" s="64">
        <v>13067</v>
      </c>
      <c r="E564" s="38">
        <v>3.01</v>
      </c>
      <c r="F564" s="39">
        <v>0.16444733</v>
      </c>
      <c r="G564" s="38">
        <v>0</v>
      </c>
      <c r="H564" s="38">
        <v>0</v>
      </c>
      <c r="I564" s="38">
        <v>0.27356253000000003</v>
      </c>
      <c r="J564" s="38">
        <v>1.3134063E-2</v>
      </c>
      <c r="K564" s="38">
        <v>8.0351048999999994E-2</v>
      </c>
      <c r="L564" s="40">
        <v>0.53149497199999995</v>
      </c>
    </row>
    <row r="565" spans="1:12" hidden="1">
      <c r="A565" s="37" t="s">
        <v>1362</v>
      </c>
      <c r="B565" s="37"/>
      <c r="C565" s="37" t="s">
        <v>634</v>
      </c>
      <c r="D565" s="64">
        <v>13009</v>
      </c>
      <c r="E565" s="38">
        <v>2.46</v>
      </c>
      <c r="F565" s="39">
        <v>0.18786463</v>
      </c>
      <c r="G565" s="38">
        <v>0</v>
      </c>
      <c r="H565" s="38">
        <v>0</v>
      </c>
      <c r="I565" s="38">
        <v>0.37082451</v>
      </c>
      <c r="J565" s="38">
        <v>1.5004353999999999E-2</v>
      </c>
      <c r="K565" s="38">
        <v>0.13756958</v>
      </c>
      <c r="L565" s="40">
        <v>0.711263074</v>
      </c>
    </row>
    <row r="566" spans="1:12" hidden="1">
      <c r="A566" s="37" t="s">
        <v>1363</v>
      </c>
      <c r="B566" s="37"/>
      <c r="C566" s="37" t="s">
        <v>634</v>
      </c>
      <c r="D566" s="64">
        <v>13125</v>
      </c>
      <c r="E566" s="38">
        <v>2.7</v>
      </c>
      <c r="F566" s="39">
        <v>0.21926309999999999</v>
      </c>
      <c r="G566" s="38">
        <v>0</v>
      </c>
      <c r="H566" s="38">
        <v>0</v>
      </c>
      <c r="I566" s="38">
        <v>0.43280172</v>
      </c>
      <c r="J566" s="38">
        <v>1.7512084000000001E-2</v>
      </c>
      <c r="K566" s="38">
        <v>0.21426945999999999</v>
      </c>
      <c r="L566" s="40">
        <v>0.88384636400000005</v>
      </c>
    </row>
    <row r="567" spans="1:12" hidden="1">
      <c r="A567" s="41" t="s">
        <v>1364</v>
      </c>
      <c r="B567" s="41"/>
      <c r="C567" s="41" t="s">
        <v>842</v>
      </c>
      <c r="D567" s="65">
        <v>20166</v>
      </c>
      <c r="E567" s="42">
        <v>2.4900000000000002</v>
      </c>
      <c r="F567" s="43">
        <v>0.22241720000000001</v>
      </c>
      <c r="G567" s="42">
        <v>0</v>
      </c>
      <c r="H567" s="42">
        <v>0</v>
      </c>
      <c r="I567" s="42">
        <v>0.29790003999999998</v>
      </c>
      <c r="J567" s="42">
        <v>1.8180591999999999E-2</v>
      </c>
      <c r="K567" s="42">
        <v>8.0351048999999994E-2</v>
      </c>
      <c r="L567" s="44">
        <v>0.61884888100000002</v>
      </c>
    </row>
    <row r="568" spans="1:12" hidden="1">
      <c r="A568" s="37" t="s">
        <v>1365</v>
      </c>
      <c r="B568" s="37"/>
      <c r="C568" s="37" t="s">
        <v>1085</v>
      </c>
      <c r="D568" s="64">
        <v>39216</v>
      </c>
      <c r="E568" s="38">
        <v>2.19</v>
      </c>
      <c r="F568" s="39">
        <v>1.0460149000000001</v>
      </c>
      <c r="G568" s="38">
        <v>0.27842285</v>
      </c>
      <c r="H568" s="38">
        <v>0.18551914</v>
      </c>
      <c r="I568" s="38">
        <v>0.22901258999999999</v>
      </c>
      <c r="J568" s="38">
        <v>3.7768032999999999E-2</v>
      </c>
      <c r="K568" s="38">
        <v>6.6736979E-3</v>
      </c>
      <c r="L568" s="40">
        <v>1.7834112109</v>
      </c>
    </row>
    <row r="569" spans="1:12" hidden="1">
      <c r="A569" s="37" t="s">
        <v>1366</v>
      </c>
      <c r="B569" s="37"/>
      <c r="C569" s="37" t="s">
        <v>634</v>
      </c>
      <c r="D569" s="64">
        <v>13082</v>
      </c>
      <c r="E569" s="38">
        <v>2.68</v>
      </c>
      <c r="F569" s="39">
        <v>0</v>
      </c>
      <c r="G569" s="38">
        <v>0.55684122999999996</v>
      </c>
      <c r="H569" s="38">
        <v>0</v>
      </c>
      <c r="I569" s="38">
        <v>0.43280172</v>
      </c>
      <c r="J569" s="38">
        <v>1.7512084000000001E-2</v>
      </c>
      <c r="K569" s="38">
        <v>0.21426945999999999</v>
      </c>
      <c r="L569" s="40">
        <v>1.2214244939999999</v>
      </c>
    </row>
    <row r="570" spans="1:12" hidden="1">
      <c r="A570" s="37" t="s">
        <v>1367</v>
      </c>
      <c r="B570" s="37"/>
      <c r="C570" s="37" t="s">
        <v>1199</v>
      </c>
      <c r="D570" s="64">
        <v>11052</v>
      </c>
      <c r="E570" s="38">
        <v>3.56</v>
      </c>
      <c r="F570" s="39">
        <v>6.8674977999999998</v>
      </c>
      <c r="G570" s="38">
        <v>0.44436311000000001</v>
      </c>
      <c r="H570" s="38">
        <v>0.47782284000000003</v>
      </c>
      <c r="I570" s="38">
        <v>0.33400225</v>
      </c>
      <c r="J570" s="38">
        <v>1.5675970000000001E-2</v>
      </c>
      <c r="K570" s="38">
        <v>0</v>
      </c>
      <c r="L570" s="40">
        <v>8.1393619699999995</v>
      </c>
    </row>
    <row r="571" spans="1:12" hidden="1">
      <c r="A571" s="41" t="s">
        <v>1368</v>
      </c>
      <c r="B571" s="41"/>
      <c r="C571" s="41" t="s">
        <v>657</v>
      </c>
      <c r="D571" s="65">
        <v>1012</v>
      </c>
      <c r="E571" s="42">
        <v>2.65</v>
      </c>
      <c r="F571" s="43">
        <v>8.4748064999999997E-2</v>
      </c>
      <c r="G571" s="42">
        <v>0.12541093</v>
      </c>
      <c r="H571" s="42">
        <v>0.47782284000000003</v>
      </c>
      <c r="I571" s="42">
        <v>0.17586046</v>
      </c>
      <c r="J571" s="42">
        <v>1.5108570999999999E-2</v>
      </c>
      <c r="K571" s="42">
        <v>6.6736979E-3</v>
      </c>
      <c r="L571" s="44">
        <v>0.88562456389999999</v>
      </c>
    </row>
    <row r="572" spans="1:12" hidden="1">
      <c r="A572" s="41" t="s">
        <v>1369</v>
      </c>
      <c r="B572" s="41"/>
      <c r="C572" s="41" t="s">
        <v>657</v>
      </c>
      <c r="D572" s="65">
        <v>1013</v>
      </c>
      <c r="E572" s="42">
        <v>2.68</v>
      </c>
      <c r="F572" s="43">
        <v>3.1661507999999998E-3</v>
      </c>
      <c r="G572" s="42">
        <v>0.17871651</v>
      </c>
      <c r="H572" s="42">
        <v>0.47782284000000003</v>
      </c>
      <c r="I572" s="42">
        <v>0.16241027999999999</v>
      </c>
      <c r="J572" s="42">
        <v>1.5108570999999999E-2</v>
      </c>
      <c r="K572" s="42">
        <v>6.6736979E-3</v>
      </c>
      <c r="L572" s="44">
        <v>0.84389804970000004</v>
      </c>
    </row>
    <row r="573" spans="1:12">
      <c r="A573" s="37" t="s">
        <v>1370</v>
      </c>
      <c r="B573" s="37"/>
      <c r="C573" s="37" t="s">
        <v>657</v>
      </c>
      <c r="D573" s="64">
        <v>2008</v>
      </c>
      <c r="E573" s="38">
        <v>2.29</v>
      </c>
      <c r="F573" s="39">
        <v>0.1014815</v>
      </c>
      <c r="G573" s="38">
        <v>1.6336567999999999E-2</v>
      </c>
      <c r="H573" s="38">
        <v>0.47782284000000003</v>
      </c>
      <c r="I573" s="38">
        <v>0.2817694</v>
      </c>
      <c r="J573" s="38">
        <v>3.5836186999999999E-2</v>
      </c>
      <c r="K573" s="38">
        <v>6.6736979E-3</v>
      </c>
      <c r="L573" s="40">
        <v>0.91992019290000004</v>
      </c>
    </row>
    <row r="574" spans="1:12" hidden="1">
      <c r="A574" s="37" t="s">
        <v>1371</v>
      </c>
      <c r="B574" s="37"/>
      <c r="C574" s="37" t="s">
        <v>657</v>
      </c>
      <c r="D574" s="64">
        <v>1022</v>
      </c>
      <c r="E574" s="38">
        <v>2.61</v>
      </c>
      <c r="F574" s="39">
        <v>0.11811051</v>
      </c>
      <c r="G574" s="38">
        <v>0.11624982</v>
      </c>
      <c r="H574" s="38">
        <v>0.47782284000000003</v>
      </c>
      <c r="I574" s="38">
        <v>0.28136853000000001</v>
      </c>
      <c r="J574" s="38">
        <v>3.5836186999999999E-2</v>
      </c>
      <c r="K574" s="38">
        <v>6.6736979E-3</v>
      </c>
      <c r="L574" s="40">
        <v>1.0360615848999999</v>
      </c>
    </row>
    <row r="575" spans="1:12" hidden="1">
      <c r="A575" s="37" t="s">
        <v>1372</v>
      </c>
      <c r="B575" s="37"/>
      <c r="C575" s="37" t="s">
        <v>842</v>
      </c>
      <c r="D575" s="64">
        <v>20018</v>
      </c>
      <c r="E575" s="38">
        <v>2.97</v>
      </c>
      <c r="F575" s="39">
        <v>0.63932316</v>
      </c>
      <c r="G575" s="38">
        <v>0.27195812000000003</v>
      </c>
      <c r="H575" s="38">
        <v>0.31245827999999998</v>
      </c>
      <c r="I575" s="38">
        <v>0.38469045000000002</v>
      </c>
      <c r="J575" s="38">
        <v>2.8777153999999999E-2</v>
      </c>
      <c r="K575" s="38">
        <v>0</v>
      </c>
      <c r="L575" s="40">
        <v>1.6372071640000001</v>
      </c>
    </row>
    <row r="576" spans="1:12" hidden="1">
      <c r="A576" s="37" t="s">
        <v>1373</v>
      </c>
      <c r="B576" s="37"/>
      <c r="C576" s="37" t="s">
        <v>788</v>
      </c>
      <c r="D576" s="64">
        <v>40058</v>
      </c>
      <c r="E576" s="38">
        <v>2.63</v>
      </c>
      <c r="F576" s="39">
        <v>20.50845</v>
      </c>
      <c r="G576" s="38">
        <v>3.4519847999999999E-2</v>
      </c>
      <c r="H576" s="38">
        <v>0.27530876999999998</v>
      </c>
      <c r="I576" s="38">
        <v>0.19781488</v>
      </c>
      <c r="J576" s="38">
        <v>3.7353873000000003E-2</v>
      </c>
      <c r="K576" s="38">
        <v>6.6736979E-3</v>
      </c>
      <c r="L576" s="40">
        <v>21.060121068899996</v>
      </c>
    </row>
    <row r="577" spans="1:12" hidden="1">
      <c r="A577" s="37" t="s">
        <v>1374</v>
      </c>
      <c r="B577" s="37"/>
      <c r="C577" s="37" t="s">
        <v>786</v>
      </c>
      <c r="D577" s="64">
        <v>40059</v>
      </c>
      <c r="E577" s="38">
        <v>2.65</v>
      </c>
      <c r="F577" s="39">
        <v>28.111091999999999</v>
      </c>
      <c r="G577" s="38">
        <v>4.7316624000000002E-2</v>
      </c>
      <c r="H577" s="38">
        <v>0.37736787999999999</v>
      </c>
      <c r="I577" s="38">
        <v>0.27114639000000001</v>
      </c>
      <c r="J577" s="38">
        <v>5.1201244999999999E-2</v>
      </c>
      <c r="K577" s="38">
        <v>9.5038267999999995E-2</v>
      </c>
      <c r="L577" s="40">
        <v>28.953162407000001</v>
      </c>
    </row>
    <row r="578" spans="1:12" hidden="1">
      <c r="A578" s="37" t="s">
        <v>1375</v>
      </c>
      <c r="B578" s="37"/>
      <c r="C578" s="37" t="s">
        <v>788</v>
      </c>
      <c r="D578" s="64">
        <v>40052</v>
      </c>
      <c r="E578" s="38">
        <v>2.21</v>
      </c>
      <c r="F578" s="39">
        <v>20.927841000000001</v>
      </c>
      <c r="G578" s="38">
        <v>5.2136218999999998E-2</v>
      </c>
      <c r="H578" s="38">
        <v>0.27530876999999998</v>
      </c>
      <c r="I578" s="38">
        <v>0.20001251</v>
      </c>
      <c r="J578" s="38">
        <v>3.7353873000000003E-2</v>
      </c>
      <c r="K578" s="38">
        <v>6.6736979E-3</v>
      </c>
      <c r="L578" s="40">
        <v>21.4993260699</v>
      </c>
    </row>
    <row r="579" spans="1:12" hidden="1">
      <c r="A579" s="37" t="s">
        <v>1376</v>
      </c>
      <c r="B579" s="37"/>
      <c r="C579" s="37" t="s">
        <v>786</v>
      </c>
      <c r="D579" s="64">
        <v>40053</v>
      </c>
      <c r="E579" s="38">
        <v>2.2400000000000002</v>
      </c>
      <c r="F579" s="39">
        <v>28.685955</v>
      </c>
      <c r="G579" s="38">
        <v>7.1463521000000002E-2</v>
      </c>
      <c r="H579" s="38">
        <v>0.37736787999999999</v>
      </c>
      <c r="I579" s="38">
        <v>0.27415869999999998</v>
      </c>
      <c r="J579" s="38">
        <v>5.1201244999999999E-2</v>
      </c>
      <c r="K579" s="38">
        <v>9.5038267999999995E-2</v>
      </c>
      <c r="L579" s="40">
        <v>29.555184614000002</v>
      </c>
    </row>
    <row r="580" spans="1:12" hidden="1">
      <c r="A580" s="37" t="s">
        <v>1377</v>
      </c>
      <c r="B580" s="37"/>
      <c r="C580" s="37" t="s">
        <v>788</v>
      </c>
      <c r="D580" s="64">
        <v>40055</v>
      </c>
      <c r="E580" s="38">
        <v>3.05</v>
      </c>
      <c r="F580" s="39">
        <v>1.1040528000000001</v>
      </c>
      <c r="G580" s="38">
        <v>0.21943008</v>
      </c>
      <c r="H580" s="38">
        <v>0.27530876999999998</v>
      </c>
      <c r="I580" s="38">
        <v>0.20041980000000001</v>
      </c>
      <c r="J580" s="38">
        <v>3.7353873000000003E-2</v>
      </c>
      <c r="K580" s="38">
        <v>6.6736979E-3</v>
      </c>
      <c r="L580" s="40">
        <v>1.8432390208999998</v>
      </c>
    </row>
    <row r="581" spans="1:12" hidden="1">
      <c r="A581" s="37" t="s">
        <v>1378</v>
      </c>
      <c r="B581" s="37"/>
      <c r="C581" s="37" t="s">
        <v>786</v>
      </c>
      <c r="D581" s="64">
        <v>40057</v>
      </c>
      <c r="E581" s="38">
        <v>3.05</v>
      </c>
      <c r="F581" s="39">
        <v>1.5133337</v>
      </c>
      <c r="G581" s="38">
        <v>0.30077451999999999</v>
      </c>
      <c r="H581" s="38">
        <v>0.37736787999999999</v>
      </c>
      <c r="I581" s="38">
        <v>0.27471698</v>
      </c>
      <c r="J581" s="38">
        <v>5.1201244999999999E-2</v>
      </c>
      <c r="K581" s="38">
        <v>9.5038267999999995E-2</v>
      </c>
      <c r="L581" s="40">
        <v>2.6124325930000003</v>
      </c>
    </row>
    <row r="582" spans="1:12" hidden="1">
      <c r="A582" s="37" t="s">
        <v>1379</v>
      </c>
      <c r="B582" s="37"/>
      <c r="C582" s="37" t="s">
        <v>788</v>
      </c>
      <c r="D582" s="64">
        <v>40060</v>
      </c>
      <c r="E582" s="38">
        <v>2.4700000000000002</v>
      </c>
      <c r="F582" s="39">
        <v>1.4372448</v>
      </c>
      <c r="G582" s="38">
        <v>0.10353969</v>
      </c>
      <c r="H582" s="38">
        <v>0.27530876999999998</v>
      </c>
      <c r="I582" s="38">
        <v>0.19284406000000001</v>
      </c>
      <c r="J582" s="38">
        <v>3.7353873000000003E-2</v>
      </c>
      <c r="K582" s="38">
        <v>6.6736979E-3</v>
      </c>
      <c r="L582" s="40">
        <v>2.0529648909000002</v>
      </c>
    </row>
    <row r="583" spans="1:12" hidden="1">
      <c r="A583" s="37" t="s">
        <v>1380</v>
      </c>
      <c r="B583" s="37"/>
      <c r="C583" s="37" t="s">
        <v>788</v>
      </c>
      <c r="D583" s="64">
        <v>40054</v>
      </c>
      <c r="E583" s="38">
        <v>2.59</v>
      </c>
      <c r="F583" s="39">
        <v>1.1040528000000001</v>
      </c>
      <c r="G583" s="38">
        <v>0.21943008</v>
      </c>
      <c r="H583" s="38">
        <v>0.27530876999999998</v>
      </c>
      <c r="I583" s="38">
        <v>0.20041980000000001</v>
      </c>
      <c r="J583" s="38">
        <v>3.7353873000000003E-2</v>
      </c>
      <c r="K583" s="38">
        <v>6.6736979E-3</v>
      </c>
      <c r="L583" s="40">
        <v>1.8432390208999998</v>
      </c>
    </row>
    <row r="584" spans="1:12" hidden="1">
      <c r="A584" s="37" t="s">
        <v>1381</v>
      </c>
      <c r="B584" s="37"/>
      <c r="C584" s="37" t="s">
        <v>786</v>
      </c>
      <c r="D584" s="64">
        <v>40056</v>
      </c>
      <c r="E584" s="38">
        <v>2.61</v>
      </c>
      <c r="F584" s="39">
        <v>1.5133337</v>
      </c>
      <c r="G584" s="38">
        <v>0.30077451999999999</v>
      </c>
      <c r="H584" s="38">
        <v>0.37736787999999999</v>
      </c>
      <c r="I584" s="38">
        <v>0.27471698</v>
      </c>
      <c r="J584" s="38">
        <v>5.1201244999999999E-2</v>
      </c>
      <c r="K584" s="38">
        <v>9.5038267999999995E-2</v>
      </c>
      <c r="L584" s="40">
        <v>2.6124325930000003</v>
      </c>
    </row>
    <row r="585" spans="1:12" hidden="1">
      <c r="A585" s="37" t="s">
        <v>1382</v>
      </c>
      <c r="B585" s="37"/>
      <c r="C585" s="37" t="s">
        <v>788</v>
      </c>
      <c r="D585" s="64">
        <v>40062</v>
      </c>
      <c r="E585" s="38">
        <v>2.63</v>
      </c>
      <c r="F585" s="39">
        <v>17.171357</v>
      </c>
      <c r="G585" s="38">
        <v>5.7167698000000003E-2</v>
      </c>
      <c r="H585" s="38">
        <v>0.27530876999999998</v>
      </c>
      <c r="I585" s="38">
        <v>0.20135906000000001</v>
      </c>
      <c r="J585" s="38">
        <v>3.7353873000000003E-2</v>
      </c>
      <c r="K585" s="38">
        <v>6.6736979E-3</v>
      </c>
      <c r="L585" s="40">
        <v>17.7492200989</v>
      </c>
    </row>
    <row r="586" spans="1:12" hidden="1">
      <c r="A586" s="41" t="s">
        <v>1383</v>
      </c>
      <c r="B586" s="41"/>
      <c r="C586" s="41" t="s">
        <v>634</v>
      </c>
      <c r="D586" s="65">
        <v>13010</v>
      </c>
      <c r="E586" s="42">
        <v>3.01</v>
      </c>
      <c r="F586" s="43">
        <v>0.12490846999999998</v>
      </c>
      <c r="G586" s="42">
        <v>0</v>
      </c>
      <c r="H586" s="42">
        <v>0</v>
      </c>
      <c r="I586" s="42">
        <v>0.32908041999999998</v>
      </c>
      <c r="J586" s="42">
        <v>6.7501727000000003E-3</v>
      </c>
      <c r="K586" s="42">
        <v>8.0351048999999994E-2</v>
      </c>
      <c r="L586" s="44">
        <v>0.54109011169999999</v>
      </c>
    </row>
    <row r="587" spans="1:12" hidden="1">
      <c r="A587" s="37" t="s">
        <v>1384</v>
      </c>
      <c r="B587" s="37"/>
      <c r="C587" s="37" t="s">
        <v>650</v>
      </c>
      <c r="D587" s="64">
        <v>18060</v>
      </c>
      <c r="E587" s="38">
        <v>2.6</v>
      </c>
      <c r="F587" s="39">
        <v>6.4760169000000006E-2</v>
      </c>
      <c r="G587" s="38">
        <v>2.7819751E-2</v>
      </c>
      <c r="H587" s="38">
        <v>0.17741768999999999</v>
      </c>
      <c r="I587" s="38">
        <v>0.19871755999999999</v>
      </c>
      <c r="J587" s="38">
        <v>3.5836186999999999E-2</v>
      </c>
      <c r="K587" s="38">
        <v>6.6736979E-3</v>
      </c>
      <c r="L587" s="40">
        <v>0.51122505490000003</v>
      </c>
    </row>
    <row r="588" spans="1:12" hidden="1">
      <c r="A588" s="37" t="s">
        <v>1385</v>
      </c>
      <c r="B588" s="37"/>
      <c r="C588" s="37" t="s">
        <v>650</v>
      </c>
      <c r="D588" s="64">
        <v>18068</v>
      </c>
      <c r="E588" s="38">
        <v>2.6</v>
      </c>
      <c r="F588" s="39">
        <v>6.4760169000000006E-2</v>
      </c>
      <c r="G588" s="38">
        <v>2.7819751E-2</v>
      </c>
      <c r="H588" s="38">
        <v>0.17741768999999999</v>
      </c>
      <c r="I588" s="38">
        <v>0.19871755999999999</v>
      </c>
      <c r="J588" s="38">
        <v>3.5836186999999999E-2</v>
      </c>
      <c r="K588" s="38">
        <v>6.6736979E-3</v>
      </c>
      <c r="L588" s="40">
        <v>0.51122505490000003</v>
      </c>
    </row>
    <row r="589" spans="1:12" hidden="1">
      <c r="A589" s="37" t="s">
        <v>1386</v>
      </c>
      <c r="B589" s="37"/>
      <c r="C589" s="37" t="s">
        <v>650</v>
      </c>
      <c r="D589" s="64">
        <v>18018</v>
      </c>
      <c r="E589" s="38">
        <v>2.6</v>
      </c>
      <c r="F589" s="39">
        <v>6.4760169000000006E-2</v>
      </c>
      <c r="G589" s="38">
        <v>2.7819751E-2</v>
      </c>
      <c r="H589" s="38">
        <v>0.17741768999999999</v>
      </c>
      <c r="I589" s="38">
        <v>0.19871755999999999</v>
      </c>
      <c r="J589" s="38">
        <v>3.5836186999999999E-2</v>
      </c>
      <c r="K589" s="38">
        <v>6.6736979E-3</v>
      </c>
      <c r="L589" s="40">
        <v>0.51122505490000003</v>
      </c>
    </row>
    <row r="590" spans="1:12" hidden="1">
      <c r="A590" s="37" t="s">
        <v>1387</v>
      </c>
      <c r="B590" s="37"/>
      <c r="C590" s="37" t="s">
        <v>650</v>
      </c>
      <c r="D590" s="64">
        <v>18037</v>
      </c>
      <c r="E590" s="38">
        <v>2.6</v>
      </c>
      <c r="F590" s="39">
        <v>6.4760169000000006E-2</v>
      </c>
      <c r="G590" s="38">
        <v>2.7819751E-2</v>
      </c>
      <c r="H590" s="38">
        <v>0.17741768999999999</v>
      </c>
      <c r="I590" s="38">
        <v>0.19871755999999999</v>
      </c>
      <c r="J590" s="38">
        <v>3.5836186999999999E-2</v>
      </c>
      <c r="K590" s="38">
        <v>6.6736979E-3</v>
      </c>
      <c r="L590" s="40">
        <v>0.51122505490000003</v>
      </c>
    </row>
    <row r="591" spans="1:12" hidden="1">
      <c r="A591" s="37" t="s">
        <v>1388</v>
      </c>
      <c r="B591" s="37"/>
      <c r="C591" s="37" t="s">
        <v>650</v>
      </c>
      <c r="D591" s="64">
        <v>18067</v>
      </c>
      <c r="E591" s="38">
        <v>2.6</v>
      </c>
      <c r="F591" s="39">
        <v>6.4760169000000006E-2</v>
      </c>
      <c r="G591" s="38">
        <v>2.7819751E-2</v>
      </c>
      <c r="H591" s="38">
        <v>0.17741768999999999</v>
      </c>
      <c r="I591" s="38">
        <v>0.19871755999999999</v>
      </c>
      <c r="J591" s="38">
        <v>3.5836186999999999E-2</v>
      </c>
      <c r="K591" s="38">
        <v>6.6736979E-3</v>
      </c>
      <c r="L591" s="40">
        <v>0.51122505490000003</v>
      </c>
    </row>
    <row r="592" spans="1:12" hidden="1">
      <c r="A592" s="37" t="s">
        <v>1389</v>
      </c>
      <c r="B592" s="37"/>
      <c r="C592" s="37" t="s">
        <v>634</v>
      </c>
      <c r="D592" s="64">
        <v>13038</v>
      </c>
      <c r="E592" s="38">
        <v>1.98</v>
      </c>
      <c r="F592" s="39">
        <v>0.11870140999999999</v>
      </c>
      <c r="G592" s="38">
        <v>0.18811739999999999</v>
      </c>
      <c r="H592" s="38">
        <v>0.27727707000000001</v>
      </c>
      <c r="I592" s="38">
        <v>0.21547949</v>
      </c>
      <c r="J592" s="38">
        <v>3.7768032999999999E-2</v>
      </c>
      <c r="K592" s="38">
        <v>6.6736979E-3</v>
      </c>
      <c r="L592" s="40">
        <v>0.84401710090000004</v>
      </c>
    </row>
    <row r="593" spans="1:12" hidden="1">
      <c r="A593" s="37" t="s">
        <v>1390</v>
      </c>
      <c r="B593" s="37"/>
      <c r="C593" s="37" t="s">
        <v>634</v>
      </c>
      <c r="D593" s="64">
        <v>13108</v>
      </c>
      <c r="E593" s="38">
        <v>1.98</v>
      </c>
      <c r="F593" s="39">
        <v>8.1324348000000005E-2</v>
      </c>
      <c r="G593" s="38">
        <v>0.16341131</v>
      </c>
      <c r="H593" s="38">
        <v>0.27727707000000001</v>
      </c>
      <c r="I593" s="38">
        <v>0.2224891</v>
      </c>
      <c r="J593" s="38">
        <v>3.7768032999999999E-2</v>
      </c>
      <c r="K593" s="38">
        <v>6.6736979E-3</v>
      </c>
      <c r="L593" s="40">
        <v>0.78894355890000001</v>
      </c>
    </row>
    <row r="594" spans="1:12" hidden="1">
      <c r="A594" s="37" t="s">
        <v>1391</v>
      </c>
      <c r="B594" s="37"/>
      <c r="C594" s="37" t="s">
        <v>634</v>
      </c>
      <c r="D594" s="64">
        <v>13109</v>
      </c>
      <c r="E594" s="38">
        <v>1.98</v>
      </c>
      <c r="F594" s="39">
        <v>0.10413422</v>
      </c>
      <c r="G594" s="38">
        <v>0.16513786999999999</v>
      </c>
      <c r="H594" s="38">
        <v>0.27727707000000001</v>
      </c>
      <c r="I594" s="38">
        <v>0.22168113</v>
      </c>
      <c r="J594" s="38">
        <v>1.7262405000000001E-2</v>
      </c>
      <c r="K594" s="38">
        <v>6.6736979E-3</v>
      </c>
      <c r="L594" s="40">
        <v>0.79216639290000002</v>
      </c>
    </row>
    <row r="595" spans="1:12" hidden="1">
      <c r="A595" s="37" t="s">
        <v>1392</v>
      </c>
      <c r="B595" s="37"/>
      <c r="C595" s="37" t="s">
        <v>634</v>
      </c>
      <c r="D595" s="64">
        <v>13129</v>
      </c>
      <c r="E595" s="38">
        <v>1.98</v>
      </c>
      <c r="F595" s="39">
        <v>0.10413422</v>
      </c>
      <c r="G595" s="38">
        <v>0.16513786999999999</v>
      </c>
      <c r="H595" s="38">
        <v>0.27727707000000001</v>
      </c>
      <c r="I595" s="38">
        <v>0.22168113</v>
      </c>
      <c r="J595" s="38">
        <v>3.7768032999999999E-2</v>
      </c>
      <c r="K595" s="38">
        <v>6.6736979E-3</v>
      </c>
      <c r="L595" s="40">
        <v>0.81267202090000001</v>
      </c>
    </row>
    <row r="596" spans="1:12" hidden="1">
      <c r="A596" s="37" t="s">
        <v>1393</v>
      </c>
      <c r="B596" s="37"/>
      <c r="C596" s="37" t="s">
        <v>640</v>
      </c>
      <c r="D596" s="64">
        <v>12110</v>
      </c>
      <c r="E596" s="38">
        <v>1.81</v>
      </c>
      <c r="F596" s="39">
        <v>5.3246723999999999</v>
      </c>
      <c r="G596" s="38">
        <v>0.37939930999999999</v>
      </c>
      <c r="H596" s="38">
        <v>0.26233268999999998</v>
      </c>
      <c r="I596" s="38">
        <v>0.21100323000000001</v>
      </c>
      <c r="J596" s="38">
        <v>3.5969872999999999E-2</v>
      </c>
      <c r="K596" s="38">
        <v>6.6736979E-3</v>
      </c>
      <c r="L596" s="40">
        <v>6.2200512009000004</v>
      </c>
    </row>
    <row r="597" spans="1:12" hidden="1">
      <c r="A597" s="37" t="s">
        <v>1394</v>
      </c>
      <c r="B597" s="37"/>
      <c r="C597" s="37" t="s">
        <v>842</v>
      </c>
      <c r="D597" s="64">
        <v>20019</v>
      </c>
      <c r="E597" s="38">
        <v>2.5299999999999998</v>
      </c>
      <c r="F597" s="39">
        <v>0.18660557</v>
      </c>
      <c r="G597" s="38">
        <v>0</v>
      </c>
      <c r="H597" s="38">
        <v>0</v>
      </c>
      <c r="I597" s="38">
        <v>0.24073502999999999</v>
      </c>
      <c r="J597" s="38">
        <v>1.3720184E-2</v>
      </c>
      <c r="K597" s="38">
        <v>3.2140419000000003E-2</v>
      </c>
      <c r="L597" s="40">
        <v>0.47320120300000001</v>
      </c>
    </row>
    <row r="598" spans="1:12" hidden="1">
      <c r="A598" s="37" t="s">
        <v>1395</v>
      </c>
      <c r="B598" s="37"/>
      <c r="C598" s="37" t="s">
        <v>842</v>
      </c>
      <c r="D598" s="64">
        <v>20210</v>
      </c>
      <c r="E598" s="38">
        <v>2.5299999999999998</v>
      </c>
      <c r="F598" s="39">
        <v>0.18660557</v>
      </c>
      <c r="G598" s="38">
        <v>0</v>
      </c>
      <c r="H598" s="38">
        <v>0</v>
      </c>
      <c r="I598" s="38">
        <v>0.24073502999999999</v>
      </c>
      <c r="J598" s="38">
        <v>1.3720184E-2</v>
      </c>
      <c r="K598" s="38">
        <v>3.2140419000000003E-2</v>
      </c>
      <c r="L598" s="40">
        <v>0.47320120300000001</v>
      </c>
    </row>
    <row r="599" spans="1:12" hidden="1">
      <c r="A599" s="37" t="s">
        <v>1396</v>
      </c>
      <c r="B599" s="37"/>
      <c r="C599" s="37" t="s">
        <v>623</v>
      </c>
      <c r="D599" s="64">
        <v>24685</v>
      </c>
      <c r="E599" s="38">
        <v>2.5299999999999998</v>
      </c>
      <c r="F599" s="39">
        <v>2.3635185000000001</v>
      </c>
      <c r="G599" s="38">
        <v>0.22831583999999999</v>
      </c>
      <c r="H599" s="38">
        <v>0.10986902</v>
      </c>
      <c r="I599" s="38">
        <v>0.13508917000000001</v>
      </c>
      <c r="J599" s="38">
        <v>1.9437894000000001E-2</v>
      </c>
      <c r="K599" s="38">
        <v>0</v>
      </c>
      <c r="L599" s="40">
        <v>2.8562304240000005</v>
      </c>
    </row>
    <row r="600" spans="1:12" hidden="1">
      <c r="A600" s="37" t="s">
        <v>1397</v>
      </c>
      <c r="B600" s="37"/>
      <c r="C600" s="37" t="s">
        <v>877</v>
      </c>
      <c r="D600" s="64">
        <v>31041</v>
      </c>
      <c r="E600" s="38">
        <v>2.91</v>
      </c>
      <c r="F600" s="39">
        <v>8.5822707000000005</v>
      </c>
      <c r="G600" s="38">
        <v>0.57571437000000003</v>
      </c>
      <c r="H600" s="38">
        <v>0.10402936</v>
      </c>
      <c r="I600" s="38">
        <v>0.31376546999999999</v>
      </c>
      <c r="J600" s="38">
        <v>1.7263204000000001E-2</v>
      </c>
      <c r="K600" s="38">
        <v>0</v>
      </c>
      <c r="L600" s="40">
        <v>9.5930431040000013</v>
      </c>
    </row>
    <row r="601" spans="1:12" hidden="1">
      <c r="A601" s="41" t="s">
        <v>1398</v>
      </c>
      <c r="B601" s="41"/>
      <c r="C601" s="41" t="s">
        <v>631</v>
      </c>
      <c r="D601" s="65">
        <v>8110</v>
      </c>
      <c r="E601" s="42">
        <v>2.5099999999999998</v>
      </c>
      <c r="F601" s="43">
        <v>7.0071041999999997</v>
      </c>
      <c r="G601" s="42">
        <v>1.5744526999999999</v>
      </c>
      <c r="H601" s="42">
        <v>0.34659633000000001</v>
      </c>
      <c r="I601" s="42">
        <v>0.38405621000000001</v>
      </c>
      <c r="J601" s="42">
        <v>4.7210041000000001E-2</v>
      </c>
      <c r="K601" s="42">
        <v>0.17458375000000001</v>
      </c>
      <c r="L601" s="44">
        <v>9.5340032309999998</v>
      </c>
    </row>
    <row r="602" spans="1:12" hidden="1">
      <c r="A602" s="37" t="s">
        <v>1399</v>
      </c>
      <c r="B602" s="37"/>
      <c r="C602" s="37" t="s">
        <v>631</v>
      </c>
      <c r="D602" s="64">
        <v>8109</v>
      </c>
      <c r="E602" s="38">
        <v>2.96</v>
      </c>
      <c r="F602" s="39">
        <v>7.0071041999999997</v>
      </c>
      <c r="G602" s="38">
        <v>1.5744526999999999</v>
      </c>
      <c r="H602" s="38">
        <v>0.34659633000000001</v>
      </c>
      <c r="I602" s="38">
        <v>0.38405621000000001</v>
      </c>
      <c r="J602" s="38">
        <v>4.7210041000000001E-2</v>
      </c>
      <c r="K602" s="38">
        <v>0.17458375000000001</v>
      </c>
      <c r="L602" s="40">
        <v>9.5340032309999998</v>
      </c>
    </row>
    <row r="603" spans="1:12" hidden="1">
      <c r="A603" s="41" t="s">
        <v>1400</v>
      </c>
      <c r="B603" s="41"/>
      <c r="C603" s="41" t="s">
        <v>631</v>
      </c>
      <c r="D603" s="65">
        <v>8120</v>
      </c>
      <c r="E603" s="42">
        <v>2.91</v>
      </c>
      <c r="F603" s="43">
        <v>1.4523737000000001</v>
      </c>
      <c r="G603" s="42">
        <v>0.10462958</v>
      </c>
      <c r="H603" s="42">
        <v>0.27727707000000001</v>
      </c>
      <c r="I603" s="42">
        <v>0.19439112</v>
      </c>
      <c r="J603" s="42">
        <v>3.7768032999999999E-2</v>
      </c>
      <c r="K603" s="42">
        <v>6.6736979E-3</v>
      </c>
      <c r="L603" s="44">
        <v>2.0731132009</v>
      </c>
    </row>
    <row r="604" spans="1:12" hidden="1">
      <c r="A604" s="41" t="s">
        <v>1401</v>
      </c>
      <c r="B604" s="41"/>
      <c r="C604" s="41" t="s">
        <v>631</v>
      </c>
      <c r="D604" s="65">
        <v>8125</v>
      </c>
      <c r="E604" s="42">
        <v>3.05</v>
      </c>
      <c r="F604" s="43">
        <v>1.1156744000000001</v>
      </c>
      <c r="G604" s="42">
        <v>0.22173987000000001</v>
      </c>
      <c r="H604" s="42">
        <v>0.27727707000000001</v>
      </c>
      <c r="I604" s="42">
        <v>0.20204660999999999</v>
      </c>
      <c r="J604" s="42">
        <v>3.7768032999999999E-2</v>
      </c>
      <c r="K604" s="42">
        <v>6.6736979E-3</v>
      </c>
      <c r="L604" s="44">
        <v>1.8611796809000001</v>
      </c>
    </row>
    <row r="605" spans="1:12" hidden="1">
      <c r="A605" s="37" t="s">
        <v>1402</v>
      </c>
      <c r="B605" s="37"/>
      <c r="C605" s="37" t="s">
        <v>1403</v>
      </c>
      <c r="D605" s="64">
        <v>31037</v>
      </c>
      <c r="E605" s="38">
        <v>2.36</v>
      </c>
      <c r="F605" s="39">
        <v>0.23106943999999999</v>
      </c>
      <c r="G605" s="38">
        <v>0.27622197999999998</v>
      </c>
      <c r="H605" s="38">
        <v>0.52557377000000005</v>
      </c>
      <c r="I605" s="38">
        <v>0.19103270999999999</v>
      </c>
      <c r="J605" s="38">
        <v>1.9437894000000001E-2</v>
      </c>
      <c r="K605" s="38">
        <v>6.6736979E-3</v>
      </c>
      <c r="L605" s="40">
        <v>1.2500094918999998</v>
      </c>
    </row>
    <row r="606" spans="1:12" hidden="1">
      <c r="A606" s="37" t="s">
        <v>1404</v>
      </c>
      <c r="B606" s="37"/>
      <c r="C606" s="37" t="s">
        <v>1403</v>
      </c>
      <c r="D606" s="64">
        <v>31038</v>
      </c>
      <c r="E606" s="38">
        <v>2.36</v>
      </c>
      <c r="F606" s="39">
        <v>0.71468357000000005</v>
      </c>
      <c r="G606" s="38">
        <v>0.37444997000000002</v>
      </c>
      <c r="H606" s="38">
        <v>0.52557377000000005</v>
      </c>
      <c r="I606" s="38">
        <v>0.20324876</v>
      </c>
      <c r="J606" s="38">
        <v>1.9437894000000001E-2</v>
      </c>
      <c r="K606" s="38">
        <v>6.6736979E-3</v>
      </c>
      <c r="L606" s="40">
        <v>1.8440676619</v>
      </c>
    </row>
    <row r="607" spans="1:12" hidden="1">
      <c r="A607" s="37" t="s">
        <v>1405</v>
      </c>
      <c r="B607" s="37"/>
      <c r="C607" s="37" t="s">
        <v>1403</v>
      </c>
      <c r="D607" s="64">
        <v>31024</v>
      </c>
      <c r="E607" s="38">
        <v>3.16</v>
      </c>
      <c r="F607" s="39">
        <v>0.32737262</v>
      </c>
      <c r="G607" s="38">
        <v>0.25129963999999999</v>
      </c>
      <c r="H607" s="38">
        <v>0.52557377000000005</v>
      </c>
      <c r="I607" s="38">
        <v>0.28676351</v>
      </c>
      <c r="J607" s="38">
        <v>1.9437894000000001E-2</v>
      </c>
      <c r="K607" s="38">
        <v>6.6736979E-3</v>
      </c>
      <c r="L607" s="40">
        <v>1.4171211319000001</v>
      </c>
    </row>
    <row r="608" spans="1:12" hidden="1">
      <c r="A608" s="37" t="s">
        <v>1406</v>
      </c>
      <c r="B608" s="37"/>
      <c r="C608" s="37" t="s">
        <v>1403</v>
      </c>
      <c r="D608" s="64">
        <v>31062</v>
      </c>
      <c r="E608" s="38">
        <v>3.55</v>
      </c>
      <c r="F608" s="39">
        <v>0.76368928999999997</v>
      </c>
      <c r="G608" s="38">
        <v>0.25156335000000002</v>
      </c>
      <c r="H608" s="38">
        <v>0.52557377000000005</v>
      </c>
      <c r="I608" s="38">
        <v>0.31240933999999998</v>
      </c>
      <c r="J608" s="38">
        <v>1.9437894000000001E-2</v>
      </c>
      <c r="K608" s="38">
        <v>6.6736979E-3</v>
      </c>
      <c r="L608" s="40">
        <v>1.8793473419</v>
      </c>
    </row>
    <row r="609" spans="1:12" hidden="1">
      <c r="A609" s="37" t="s">
        <v>1407</v>
      </c>
      <c r="B609" s="37"/>
      <c r="C609" s="37" t="s">
        <v>1403</v>
      </c>
      <c r="D609" s="64">
        <v>31040</v>
      </c>
      <c r="E609" s="38">
        <v>2.04</v>
      </c>
      <c r="F609" s="39">
        <v>0.80683800999999999</v>
      </c>
      <c r="G609" s="38">
        <v>0.22136201999999999</v>
      </c>
      <c r="H609" s="38">
        <v>0.52557377000000005</v>
      </c>
      <c r="I609" s="38">
        <v>0.17794614</v>
      </c>
      <c r="J609" s="38">
        <v>1.9437894000000001E-2</v>
      </c>
      <c r="K609" s="38">
        <v>6.6736979E-3</v>
      </c>
      <c r="L609" s="40">
        <v>1.7578315319</v>
      </c>
    </row>
    <row r="610" spans="1:12" hidden="1">
      <c r="A610" s="37" t="s">
        <v>1408</v>
      </c>
      <c r="B610" s="37"/>
      <c r="C610" s="37" t="s">
        <v>1403</v>
      </c>
      <c r="D610" s="64">
        <v>31110</v>
      </c>
      <c r="E610" s="38">
        <v>3.16</v>
      </c>
      <c r="F610" s="39">
        <v>0.32737262</v>
      </c>
      <c r="G610" s="38">
        <v>0.25129963999999999</v>
      </c>
      <c r="H610" s="38">
        <v>0.52557377000000005</v>
      </c>
      <c r="I610" s="38">
        <v>0.28676351</v>
      </c>
      <c r="J610" s="38">
        <v>1.9437894000000001E-2</v>
      </c>
      <c r="K610" s="38">
        <v>6.6736979E-3</v>
      </c>
      <c r="L610" s="40">
        <v>1.4171211319000001</v>
      </c>
    </row>
    <row r="611" spans="1:12" hidden="1">
      <c r="A611" s="37" t="s">
        <v>1409</v>
      </c>
      <c r="B611" s="37"/>
      <c r="C611" s="37" t="s">
        <v>826</v>
      </c>
      <c r="D611" s="64">
        <v>26127</v>
      </c>
      <c r="E611" s="38">
        <v>3.64</v>
      </c>
      <c r="F611" s="39">
        <v>9.3213296000000003</v>
      </c>
      <c r="G611" s="38">
        <v>0</v>
      </c>
      <c r="H611" s="38">
        <v>0.27530876999999998</v>
      </c>
      <c r="I611" s="38">
        <v>1.1705296999999999</v>
      </c>
      <c r="J611" s="38">
        <v>3.7353873000000003E-2</v>
      </c>
      <c r="K611" s="38">
        <v>6.6736979E-3</v>
      </c>
      <c r="L611" s="40">
        <v>10.811195640900001</v>
      </c>
    </row>
    <row r="612" spans="1:12" hidden="1">
      <c r="A612" s="37" t="s">
        <v>1410</v>
      </c>
      <c r="B612" s="37"/>
      <c r="C612" s="37" t="s">
        <v>623</v>
      </c>
      <c r="D612" s="64">
        <v>24684</v>
      </c>
      <c r="E612" s="38">
        <v>2.2000000000000002</v>
      </c>
      <c r="F612" s="39">
        <v>3.1816352999999999</v>
      </c>
      <c r="G612" s="38">
        <v>0.54086276</v>
      </c>
      <c r="H612" s="38">
        <v>0.10984827</v>
      </c>
      <c r="I612" s="38">
        <v>0.21088666</v>
      </c>
      <c r="J612" s="38">
        <v>1.9437894000000001E-2</v>
      </c>
      <c r="K612" s="38">
        <v>0</v>
      </c>
      <c r="L612" s="40">
        <v>4.0626708840000001</v>
      </c>
    </row>
    <row r="613" spans="1:12" hidden="1">
      <c r="A613" s="37" t="s">
        <v>1411</v>
      </c>
      <c r="B613" s="37"/>
      <c r="C613" s="37" t="s">
        <v>631</v>
      </c>
      <c r="D613" s="64">
        <v>28850</v>
      </c>
      <c r="E613" s="38">
        <v>2.5099999999999998</v>
      </c>
      <c r="F613" s="39">
        <v>14.58215</v>
      </c>
      <c r="G613" s="38">
        <v>2.3310966</v>
      </c>
      <c r="H613" s="38">
        <v>0.12371043</v>
      </c>
      <c r="I613" s="38">
        <v>0.27740542000000001</v>
      </c>
      <c r="J613" s="38">
        <v>4.6692341999999998E-2</v>
      </c>
      <c r="K613" s="38">
        <v>8.8693171000000001E-2</v>
      </c>
      <c r="L613" s="40">
        <v>17.449747963</v>
      </c>
    </row>
    <row r="614" spans="1:12" hidden="1">
      <c r="A614" s="37" t="s">
        <v>1412</v>
      </c>
      <c r="B614" s="37"/>
      <c r="C614" s="37" t="s">
        <v>811</v>
      </c>
      <c r="D614" s="64">
        <v>25121</v>
      </c>
      <c r="E614" s="38">
        <v>2.4700000000000002</v>
      </c>
      <c r="F614" s="39">
        <v>5.7437240999999997</v>
      </c>
      <c r="G614" s="38">
        <v>1.1068994000000001</v>
      </c>
      <c r="H614" s="38">
        <v>0.18549789</v>
      </c>
      <c r="I614" s="38">
        <v>0.30044275999999998</v>
      </c>
      <c r="J614" s="38">
        <v>3.7768032999999999E-2</v>
      </c>
      <c r="K614" s="38">
        <v>1.7696322E-2</v>
      </c>
      <c r="L614" s="40">
        <v>7.392028504999999</v>
      </c>
    </row>
    <row r="615" spans="1:12" hidden="1">
      <c r="A615" s="41" t="s">
        <v>1413</v>
      </c>
      <c r="B615" s="41"/>
      <c r="C615" s="41" t="s">
        <v>1183</v>
      </c>
      <c r="D615" s="65">
        <v>10003</v>
      </c>
      <c r="E615" s="42">
        <v>2.85</v>
      </c>
      <c r="F615" s="43">
        <v>4.9048708999999997</v>
      </c>
      <c r="G615" s="42">
        <v>1.1842334000000001</v>
      </c>
      <c r="H615" s="42">
        <v>0.81785008000000003</v>
      </c>
      <c r="I615" s="42">
        <v>2.6851490999999998</v>
      </c>
      <c r="J615" s="42">
        <v>3.7353873000000003E-2</v>
      </c>
      <c r="K615" s="42">
        <v>4.7669270999999999E-2</v>
      </c>
      <c r="L615" s="44">
        <v>9.6771266240000013</v>
      </c>
    </row>
    <row r="616" spans="1:12" hidden="1">
      <c r="A616" s="41" t="s">
        <v>1414</v>
      </c>
      <c r="B616" s="41"/>
      <c r="C616" s="41" t="s">
        <v>1181</v>
      </c>
      <c r="D616" s="65">
        <v>10004</v>
      </c>
      <c r="E616" s="42">
        <v>2.9</v>
      </c>
      <c r="F616" s="43">
        <v>5.9839425000000004</v>
      </c>
      <c r="G616" s="42">
        <v>1.4447646999999999</v>
      </c>
      <c r="H616" s="42">
        <v>0.33597013999999997</v>
      </c>
      <c r="I616" s="42">
        <v>3.2747696999999998</v>
      </c>
      <c r="J616" s="42">
        <v>4.5571725E-2</v>
      </c>
      <c r="K616" s="42">
        <v>9.4039550999999999E-2</v>
      </c>
      <c r="L616" s="44">
        <v>11.179058315999999</v>
      </c>
    </row>
    <row r="617" spans="1:12" hidden="1">
      <c r="A617" s="41" t="s">
        <v>1415</v>
      </c>
      <c r="B617" s="41"/>
      <c r="C617" s="41" t="s">
        <v>1183</v>
      </c>
      <c r="D617" s="65">
        <v>10045</v>
      </c>
      <c r="E617" s="42">
        <v>3.43</v>
      </c>
      <c r="F617" s="43">
        <v>4.9048708999999997</v>
      </c>
      <c r="G617" s="42">
        <v>1.1842334000000001</v>
      </c>
      <c r="H617" s="42">
        <v>0.81785008000000003</v>
      </c>
      <c r="I617" s="42">
        <v>2.6851490999999998</v>
      </c>
      <c r="J617" s="42">
        <v>3.7353873000000003E-2</v>
      </c>
      <c r="K617" s="42">
        <v>4.7669270999999999E-2</v>
      </c>
      <c r="L617" s="44">
        <v>9.6771266240000013</v>
      </c>
    </row>
    <row r="618" spans="1:12" hidden="1">
      <c r="A618" s="37" t="s">
        <v>1416</v>
      </c>
      <c r="B618" s="37"/>
      <c r="C618" s="37" t="s">
        <v>826</v>
      </c>
      <c r="D618" s="64">
        <v>26107</v>
      </c>
      <c r="E618" s="38">
        <v>3.68</v>
      </c>
      <c r="F618" s="39">
        <v>3.1312416999999999</v>
      </c>
      <c r="G618" s="38">
        <v>0</v>
      </c>
      <c r="H618" s="38">
        <v>0.27530876999999998</v>
      </c>
      <c r="I618" s="38">
        <v>0.78496268999999996</v>
      </c>
      <c r="J618" s="38">
        <v>3.7353873000000003E-2</v>
      </c>
      <c r="K618" s="38">
        <v>6.6736979E-3</v>
      </c>
      <c r="L618" s="40">
        <v>4.2355407308999995</v>
      </c>
    </row>
    <row r="619" spans="1:12" hidden="1">
      <c r="A619" s="37" t="s">
        <v>1417</v>
      </c>
      <c r="B619" s="37"/>
      <c r="C619" s="37" t="s">
        <v>1005</v>
      </c>
      <c r="D619" s="64">
        <v>25089</v>
      </c>
      <c r="E619" s="38">
        <v>2.52</v>
      </c>
      <c r="F619" s="39">
        <v>4.5178607</v>
      </c>
      <c r="G619" s="38">
        <v>1.0034905000000001</v>
      </c>
      <c r="H619" s="38">
        <v>0.27731141999999998</v>
      </c>
      <c r="I619" s="38">
        <v>0.27568629</v>
      </c>
      <c r="J619" s="38">
        <v>3.7768032999999999E-2</v>
      </c>
      <c r="K619" s="38">
        <v>9.2564276000000001E-2</v>
      </c>
      <c r="L619" s="40">
        <v>6.2046812190000002</v>
      </c>
    </row>
    <row r="620" spans="1:12" hidden="1">
      <c r="A620" s="37" t="s">
        <v>1418</v>
      </c>
      <c r="B620" s="37"/>
      <c r="C620" s="37" t="s">
        <v>807</v>
      </c>
      <c r="D620" s="64">
        <v>11094</v>
      </c>
      <c r="E620" s="38">
        <v>3.75</v>
      </c>
      <c r="F620" s="39">
        <v>0.39039507000000001</v>
      </c>
      <c r="G620" s="38">
        <v>0</v>
      </c>
      <c r="H620" s="38">
        <v>0.30212257999999997</v>
      </c>
      <c r="I620" s="38">
        <v>0.22504378</v>
      </c>
      <c r="J620" s="38">
        <v>1.7243568000000001E-2</v>
      </c>
      <c r="K620" s="38">
        <v>3.2140419000000003E-2</v>
      </c>
      <c r="L620" s="40">
        <v>0.96694541700000003</v>
      </c>
    </row>
    <row r="621" spans="1:12" hidden="1">
      <c r="A621" s="37" t="s">
        <v>1419</v>
      </c>
      <c r="B621" s="37"/>
      <c r="C621" s="37" t="s">
        <v>1199</v>
      </c>
      <c r="D621" s="64">
        <v>11026</v>
      </c>
      <c r="E621" s="38">
        <v>3.75</v>
      </c>
      <c r="F621" s="39">
        <v>0.35490461000000001</v>
      </c>
      <c r="G621" s="38">
        <v>0</v>
      </c>
      <c r="H621" s="38">
        <v>0.47782284000000003</v>
      </c>
      <c r="I621" s="38">
        <v>0.24983317999999999</v>
      </c>
      <c r="J621" s="38">
        <v>1.5675970000000001E-2</v>
      </c>
      <c r="K621" s="38">
        <v>0</v>
      </c>
      <c r="L621" s="40">
        <v>1.0982366000000001</v>
      </c>
    </row>
    <row r="622" spans="1:12" hidden="1">
      <c r="A622" s="37" t="s">
        <v>1420</v>
      </c>
      <c r="B622" s="37"/>
      <c r="C622" s="37" t="s">
        <v>668</v>
      </c>
      <c r="D622" s="64">
        <v>23301</v>
      </c>
      <c r="E622" s="38">
        <v>2.59</v>
      </c>
      <c r="F622" s="39">
        <v>1.6807558</v>
      </c>
      <c r="G622" s="38">
        <v>0.26387709999999998</v>
      </c>
      <c r="H622" s="38">
        <v>0.28783144999999999</v>
      </c>
      <c r="I622" s="38">
        <v>0.21512315000000001</v>
      </c>
      <c r="J622" s="38">
        <v>1.9437894000000001E-2</v>
      </c>
      <c r="K622" s="38">
        <v>0</v>
      </c>
      <c r="L622" s="40">
        <v>2.4670253940000002</v>
      </c>
    </row>
    <row r="623" spans="1:12" hidden="1">
      <c r="A623" s="37" t="s">
        <v>1421</v>
      </c>
      <c r="B623" s="37"/>
      <c r="C623" s="37" t="s">
        <v>826</v>
      </c>
      <c r="D623" s="64">
        <v>26159</v>
      </c>
      <c r="E623" s="38">
        <v>3.64</v>
      </c>
      <c r="F623" s="39">
        <v>1.053947</v>
      </c>
      <c r="G623" s="38">
        <v>0</v>
      </c>
      <c r="H623" s="38">
        <v>0.27530876999999998</v>
      </c>
      <c r="I623" s="38">
        <v>0.87421431999999999</v>
      </c>
      <c r="J623" s="38">
        <v>3.7353873000000003E-2</v>
      </c>
      <c r="K623" s="38">
        <v>6.6736979E-3</v>
      </c>
      <c r="L623" s="40">
        <v>2.2474976609000001</v>
      </c>
    </row>
    <row r="624" spans="1:12" hidden="1">
      <c r="A624" s="41" t="s">
        <v>1422</v>
      </c>
      <c r="B624" s="41"/>
      <c r="C624" s="41" t="s">
        <v>634</v>
      </c>
      <c r="D624" s="65" t="s">
        <v>1423</v>
      </c>
      <c r="E624" s="42">
        <v>2.9195058922091417</v>
      </c>
      <c r="F624" s="43">
        <v>0.42228767</v>
      </c>
      <c r="G624" s="42">
        <v>1.0501064</v>
      </c>
      <c r="H624" s="42">
        <v>0.49792849</v>
      </c>
      <c r="I624" s="42">
        <v>0.39716836</v>
      </c>
      <c r="J624" s="42">
        <v>1.3407908E-2</v>
      </c>
      <c r="K624" s="42">
        <v>0</v>
      </c>
      <c r="L624" s="44">
        <v>2.3808988279999999</v>
      </c>
    </row>
    <row r="625" spans="1:12" hidden="1">
      <c r="A625" s="41" t="s">
        <v>1424</v>
      </c>
      <c r="B625" s="41"/>
      <c r="C625" s="41" t="s">
        <v>634</v>
      </c>
      <c r="D625" s="65" t="s">
        <v>1425</v>
      </c>
      <c r="E625" s="42">
        <v>1.9341588685247031</v>
      </c>
      <c r="F625" s="43">
        <v>1.1765551000000001</v>
      </c>
      <c r="G625" s="42">
        <v>0.47983941000000002</v>
      </c>
      <c r="H625" s="42">
        <v>0.15329999</v>
      </c>
      <c r="I625" s="42">
        <v>0.39923656000000002</v>
      </c>
      <c r="J625" s="42">
        <v>1.3407908E-2</v>
      </c>
      <c r="K625" s="42">
        <v>0</v>
      </c>
      <c r="L625" s="44">
        <v>2.2223389680000003</v>
      </c>
    </row>
    <row r="626" spans="1:12" hidden="1">
      <c r="A626" s="37" t="s">
        <v>1426</v>
      </c>
      <c r="B626" s="37"/>
      <c r="C626" s="37" t="s">
        <v>640</v>
      </c>
      <c r="D626" s="64">
        <v>12010</v>
      </c>
      <c r="E626" s="38">
        <v>2.2400000000000002</v>
      </c>
      <c r="F626" s="39">
        <v>4.6447526999999997</v>
      </c>
      <c r="G626" s="38">
        <v>0.24815195000000001</v>
      </c>
      <c r="H626" s="38">
        <v>0.26233268999999998</v>
      </c>
      <c r="I626" s="38">
        <v>0.21100323000000001</v>
      </c>
      <c r="J626" s="38">
        <v>3.5969872999999999E-2</v>
      </c>
      <c r="K626" s="38">
        <v>6.6736979E-3</v>
      </c>
      <c r="L626" s="40">
        <v>5.4088841409000006</v>
      </c>
    </row>
    <row r="627" spans="1:12" hidden="1">
      <c r="A627" s="37" t="s">
        <v>1427</v>
      </c>
      <c r="B627" s="37"/>
      <c r="C627" s="37" t="s">
        <v>1151</v>
      </c>
      <c r="D627" s="64">
        <v>39534</v>
      </c>
      <c r="E627" s="38">
        <v>3.48</v>
      </c>
      <c r="F627" s="39">
        <v>1.2830794000000001</v>
      </c>
      <c r="G627" s="38">
        <v>0.33328704999999997</v>
      </c>
      <c r="H627" s="38">
        <v>0.18042667000000001</v>
      </c>
      <c r="I627" s="38">
        <v>0.19059038</v>
      </c>
      <c r="J627" s="38">
        <v>6.5229756E-2</v>
      </c>
      <c r="K627" s="38">
        <v>2.5251829999999999E-2</v>
      </c>
      <c r="L627" s="40">
        <v>2.0778650860000005</v>
      </c>
    </row>
    <row r="628" spans="1:12" hidden="1">
      <c r="A628" s="37" t="s">
        <v>1428</v>
      </c>
      <c r="B628" s="37"/>
      <c r="C628" s="37" t="s">
        <v>1151</v>
      </c>
      <c r="D628" s="64">
        <v>39532</v>
      </c>
      <c r="E628" s="38">
        <v>3.11</v>
      </c>
      <c r="F628" s="39">
        <v>1.2830794000000001</v>
      </c>
      <c r="G628" s="38">
        <v>0.33328704999999997</v>
      </c>
      <c r="H628" s="38">
        <v>0.18042667000000001</v>
      </c>
      <c r="I628" s="38">
        <v>0.19059038</v>
      </c>
      <c r="J628" s="38">
        <v>6.5229756E-2</v>
      </c>
      <c r="K628" s="38">
        <v>2.5251829999999999E-2</v>
      </c>
      <c r="L628" s="40">
        <v>2.0778650860000005</v>
      </c>
    </row>
    <row r="629" spans="1:12" hidden="1">
      <c r="A629" s="41" t="s">
        <v>1429</v>
      </c>
      <c r="B629" s="41"/>
      <c r="C629" s="41" t="s">
        <v>842</v>
      </c>
      <c r="D629" s="65">
        <v>20138</v>
      </c>
      <c r="E629" s="42">
        <v>2.5099999999999998</v>
      </c>
      <c r="F629" s="43">
        <v>0.22241720000000001</v>
      </c>
      <c r="G629" s="42">
        <v>0</v>
      </c>
      <c r="H629" s="42">
        <v>0</v>
      </c>
      <c r="I629" s="42">
        <v>0.29790003999999998</v>
      </c>
      <c r="J629" s="42">
        <v>1.8180591999999999E-2</v>
      </c>
      <c r="K629" s="42">
        <v>8.0351048999999994E-2</v>
      </c>
      <c r="L629" s="44">
        <v>0.61884888100000002</v>
      </c>
    </row>
    <row r="630" spans="1:12" hidden="1">
      <c r="A630" s="41" t="s">
        <v>1430</v>
      </c>
      <c r="B630" s="41"/>
      <c r="C630" s="41" t="s">
        <v>842</v>
      </c>
      <c r="D630" s="65">
        <v>20134</v>
      </c>
      <c r="E630" s="42">
        <v>2.5499999999999998</v>
      </c>
      <c r="F630" s="43">
        <v>0.22241720000000001</v>
      </c>
      <c r="G630" s="42">
        <v>0</v>
      </c>
      <c r="H630" s="42">
        <v>0</v>
      </c>
      <c r="I630" s="42">
        <v>0.27356253000000003</v>
      </c>
      <c r="J630" s="42">
        <v>1.8180591999999999E-2</v>
      </c>
      <c r="K630" s="42">
        <v>8.0351048999999994E-2</v>
      </c>
      <c r="L630" s="44">
        <v>0.59451137100000007</v>
      </c>
    </row>
    <row r="631" spans="1:12" hidden="1">
      <c r="A631" s="41" t="s">
        <v>1431</v>
      </c>
      <c r="B631" s="41"/>
      <c r="C631" s="41" t="s">
        <v>842</v>
      </c>
      <c r="D631" s="65">
        <v>20136</v>
      </c>
      <c r="E631" s="42">
        <v>2.5099999999999998</v>
      </c>
      <c r="F631" s="43">
        <v>0.22241720000000001</v>
      </c>
      <c r="G631" s="42">
        <v>0</v>
      </c>
      <c r="H631" s="42">
        <v>0</v>
      </c>
      <c r="I631" s="42">
        <v>0.29790003999999998</v>
      </c>
      <c r="J631" s="42">
        <v>1.8180591999999999E-2</v>
      </c>
      <c r="K631" s="42">
        <v>8.0351048999999994E-2</v>
      </c>
      <c r="L631" s="44">
        <v>0.61884888100000002</v>
      </c>
    </row>
    <row r="632" spans="1:12" hidden="1">
      <c r="A632" s="41" t="s">
        <v>1432</v>
      </c>
      <c r="B632" s="41"/>
      <c r="C632" s="41" t="s">
        <v>842</v>
      </c>
      <c r="D632" s="65">
        <v>20128</v>
      </c>
      <c r="E632" s="42">
        <v>2.6</v>
      </c>
      <c r="F632" s="43">
        <v>0.22241720000000001</v>
      </c>
      <c r="G632" s="42">
        <v>0</v>
      </c>
      <c r="H632" s="42">
        <v>0</v>
      </c>
      <c r="I632" s="42">
        <v>0.27356253000000003</v>
      </c>
      <c r="J632" s="42">
        <v>1.8180591999999999E-2</v>
      </c>
      <c r="K632" s="42">
        <v>8.0351048999999994E-2</v>
      </c>
      <c r="L632" s="44">
        <v>0.59451137100000007</v>
      </c>
    </row>
    <row r="633" spans="1:12" hidden="1">
      <c r="A633" s="41" t="s">
        <v>1433</v>
      </c>
      <c r="B633" s="41"/>
      <c r="C633" s="41" t="s">
        <v>842</v>
      </c>
      <c r="D633" s="65">
        <v>20145</v>
      </c>
      <c r="E633" s="42">
        <v>2.38</v>
      </c>
      <c r="F633" s="43">
        <v>0.22241720000000001</v>
      </c>
      <c r="G633" s="42">
        <v>0</v>
      </c>
      <c r="H633" s="42">
        <v>0</v>
      </c>
      <c r="I633" s="42">
        <v>0.29790003999999998</v>
      </c>
      <c r="J633" s="42">
        <v>1.8180591999999999E-2</v>
      </c>
      <c r="K633" s="42">
        <v>8.0351048999999994E-2</v>
      </c>
      <c r="L633" s="44">
        <v>0.61884888100000002</v>
      </c>
    </row>
    <row r="634" spans="1:12" hidden="1">
      <c r="A634" s="41" t="s">
        <v>1434</v>
      </c>
      <c r="B634" s="41"/>
      <c r="C634" s="41" t="s">
        <v>842</v>
      </c>
      <c r="D634" s="65">
        <v>20143</v>
      </c>
      <c r="E634" s="42">
        <v>2.89</v>
      </c>
      <c r="F634" s="43">
        <v>0.25981177</v>
      </c>
      <c r="G634" s="42">
        <v>0</v>
      </c>
      <c r="H634" s="42">
        <v>0.28002042999999999</v>
      </c>
      <c r="I634" s="42">
        <v>0.36197901999999998</v>
      </c>
      <c r="J634" s="42">
        <v>2.1237259000000001E-2</v>
      </c>
      <c r="K634" s="42">
        <v>0.19993026999999999</v>
      </c>
      <c r="L634" s="44">
        <v>1.1229787489999998</v>
      </c>
    </row>
    <row r="635" spans="1:12" hidden="1">
      <c r="A635" s="41" t="s">
        <v>1435</v>
      </c>
      <c r="B635" s="41"/>
      <c r="C635" s="41" t="s">
        <v>842</v>
      </c>
      <c r="D635" s="65">
        <v>20139</v>
      </c>
      <c r="E635" s="42">
        <v>2.38</v>
      </c>
      <c r="F635" s="43">
        <v>0.22241720000000001</v>
      </c>
      <c r="G635" s="42">
        <v>0</v>
      </c>
      <c r="H635" s="42">
        <v>0</v>
      </c>
      <c r="I635" s="42">
        <v>0.29790003999999998</v>
      </c>
      <c r="J635" s="42">
        <v>1.8180591999999999E-2</v>
      </c>
      <c r="K635" s="42">
        <v>8.0351048999999994E-2</v>
      </c>
      <c r="L635" s="44">
        <v>0.61884888100000002</v>
      </c>
    </row>
    <row r="636" spans="1:12" hidden="1">
      <c r="A636" s="37" t="s">
        <v>1436</v>
      </c>
      <c r="B636" s="37"/>
      <c r="C636" s="37" t="s">
        <v>842</v>
      </c>
      <c r="D636" s="64">
        <v>20020</v>
      </c>
      <c r="E636" s="38">
        <v>2.4300000000000002</v>
      </c>
      <c r="F636" s="39">
        <v>0.19572713999999999</v>
      </c>
      <c r="G636" s="38">
        <v>0</v>
      </c>
      <c r="H636" s="38">
        <v>0</v>
      </c>
      <c r="I636" s="38">
        <v>0.24073502999999999</v>
      </c>
      <c r="J636" s="38">
        <v>1.4917201E-2</v>
      </c>
      <c r="K636" s="38">
        <v>3.2140419000000003E-2</v>
      </c>
      <c r="L636" s="40">
        <v>0.48351979</v>
      </c>
    </row>
    <row r="637" spans="1:12" hidden="1">
      <c r="A637" s="37" t="s">
        <v>1437</v>
      </c>
      <c r="B637" s="37"/>
      <c r="C637" s="37" t="s">
        <v>842</v>
      </c>
      <c r="D637" s="64">
        <v>20021</v>
      </c>
      <c r="E637" s="38">
        <v>2.92</v>
      </c>
      <c r="F637" s="39">
        <v>0.23095802000000001</v>
      </c>
      <c r="G637" s="38">
        <v>0</v>
      </c>
      <c r="H637" s="38">
        <v>0.24240544999999999</v>
      </c>
      <c r="I637" s="38">
        <v>0.29649297000000002</v>
      </c>
      <c r="J637" s="38">
        <v>1.7602296999999999E-2</v>
      </c>
      <c r="K637" s="38">
        <v>0.12807962000000001</v>
      </c>
      <c r="L637" s="40">
        <v>0.91553835700000019</v>
      </c>
    </row>
    <row r="638" spans="1:12" hidden="1">
      <c r="A638" s="37" t="s">
        <v>1438</v>
      </c>
      <c r="B638" s="37"/>
      <c r="C638" s="37" t="s">
        <v>842</v>
      </c>
      <c r="D638" s="64">
        <v>20230</v>
      </c>
      <c r="E638" s="38">
        <v>2.95</v>
      </c>
      <c r="F638" s="39">
        <v>0.1770352</v>
      </c>
      <c r="G638" s="38">
        <v>9.1766547000000004E-2</v>
      </c>
      <c r="H638" s="38">
        <v>0.26232822</v>
      </c>
      <c r="I638" s="38">
        <v>0.21372579999999999</v>
      </c>
      <c r="J638" s="38">
        <v>6.8654974999999993E-2</v>
      </c>
      <c r="K638" s="38">
        <v>2.5251829999999999E-2</v>
      </c>
      <c r="L638" s="40">
        <v>0.83876257199999993</v>
      </c>
    </row>
    <row r="639" spans="1:12" hidden="1">
      <c r="A639" s="37" t="s">
        <v>1439</v>
      </c>
      <c r="B639" s="37"/>
      <c r="C639" s="37" t="s">
        <v>842</v>
      </c>
      <c r="D639" s="64">
        <v>20264</v>
      </c>
      <c r="E639" s="38">
        <v>2.92</v>
      </c>
      <c r="F639" s="39">
        <v>0.23095802000000001</v>
      </c>
      <c r="G639" s="38">
        <v>0</v>
      </c>
      <c r="H639" s="38">
        <v>0.26041069999999999</v>
      </c>
      <c r="I639" s="38">
        <v>0.29653096000000001</v>
      </c>
      <c r="J639" s="38">
        <v>1.7602296999999999E-2</v>
      </c>
      <c r="K639" s="38">
        <v>4.3163043999999998E-2</v>
      </c>
      <c r="L639" s="40">
        <v>0.84866502100000007</v>
      </c>
    </row>
    <row r="640" spans="1:12" hidden="1">
      <c r="A640" s="37" t="s">
        <v>1440</v>
      </c>
      <c r="B640" s="37"/>
      <c r="C640" s="37" t="s">
        <v>861</v>
      </c>
      <c r="D640" s="64">
        <v>7744</v>
      </c>
      <c r="E640" s="38">
        <v>2.91</v>
      </c>
      <c r="F640" s="39">
        <v>2.5812124999999999</v>
      </c>
      <c r="G640" s="38">
        <v>0.34184456000000002</v>
      </c>
      <c r="H640" s="38">
        <v>0.28785931999999997</v>
      </c>
      <c r="I640" s="38">
        <v>0.13114994999999999</v>
      </c>
      <c r="J640" s="38">
        <v>4.7861880000000002E-3</v>
      </c>
      <c r="K640" s="38">
        <v>0</v>
      </c>
      <c r="L640" s="40">
        <v>3.3468525180000004</v>
      </c>
    </row>
    <row r="641" spans="1:12" hidden="1">
      <c r="A641" s="37" t="s">
        <v>1441</v>
      </c>
      <c r="B641" s="37"/>
      <c r="C641" s="37" t="s">
        <v>1442</v>
      </c>
      <c r="D641" s="64">
        <v>11172</v>
      </c>
      <c r="E641" s="38">
        <v>3.55</v>
      </c>
      <c r="F641" s="39">
        <v>0.60565314999999997</v>
      </c>
      <c r="G641" s="38">
        <v>6.2093119999999997</v>
      </c>
      <c r="H641" s="38">
        <v>2.2977577999999999</v>
      </c>
      <c r="I641" s="38">
        <v>0.232933</v>
      </c>
      <c r="J641" s="38">
        <v>1.9437894000000001E-2</v>
      </c>
      <c r="K641" s="38">
        <v>2.9011477000000001E-2</v>
      </c>
      <c r="L641" s="40">
        <v>9.3941053209999978</v>
      </c>
    </row>
    <row r="642" spans="1:12" hidden="1">
      <c r="A642" s="37" t="s">
        <v>1443</v>
      </c>
      <c r="B642" s="37"/>
      <c r="C642" s="37" t="s">
        <v>816</v>
      </c>
      <c r="D642" s="64">
        <v>9681</v>
      </c>
      <c r="E642" s="38">
        <v>3.2</v>
      </c>
      <c r="F642" s="39">
        <v>0.68012547000000001</v>
      </c>
      <c r="G642" s="38">
        <v>0.59010300999999998</v>
      </c>
      <c r="H642" s="38">
        <v>0.26506589000000003</v>
      </c>
      <c r="I642" s="38">
        <v>0.11323782</v>
      </c>
      <c r="J642" s="38">
        <v>1.606076E-2</v>
      </c>
      <c r="K642" s="38">
        <v>0</v>
      </c>
      <c r="L642" s="40">
        <v>1.6645929500000001</v>
      </c>
    </row>
    <row r="643" spans="1:12" hidden="1">
      <c r="A643" s="37" t="s">
        <v>1444</v>
      </c>
      <c r="B643" s="37"/>
      <c r="C643" s="37" t="s">
        <v>816</v>
      </c>
      <c r="D643" s="64">
        <v>9683</v>
      </c>
      <c r="E643" s="38">
        <v>3.19</v>
      </c>
      <c r="F643" s="39">
        <v>0.30104639999999999</v>
      </c>
      <c r="G643" s="38">
        <v>0.26119943000000001</v>
      </c>
      <c r="H643" s="38">
        <v>8.0555266E-2</v>
      </c>
      <c r="I643" s="38">
        <v>5.0122866000000002E-2</v>
      </c>
      <c r="J643" s="38">
        <v>7.1090323999999996E-3</v>
      </c>
      <c r="K643" s="38">
        <v>1.1022624E-2</v>
      </c>
      <c r="L643" s="40">
        <v>0.71105561839999998</v>
      </c>
    </row>
    <row r="644" spans="1:12" hidden="1">
      <c r="A644" s="37" t="s">
        <v>1445</v>
      </c>
      <c r="B644" s="37"/>
      <c r="C644" s="37" t="s">
        <v>811</v>
      </c>
      <c r="D644" s="64">
        <v>25152</v>
      </c>
      <c r="E644" s="38">
        <v>2.39</v>
      </c>
      <c r="F644" s="39">
        <v>2.8615560000000002</v>
      </c>
      <c r="G644" s="38">
        <v>0.46758587000000001</v>
      </c>
      <c r="H644" s="38">
        <v>0.18549789</v>
      </c>
      <c r="I644" s="38">
        <v>0.23914669999999999</v>
      </c>
      <c r="J644" s="38">
        <v>3.7768032999999999E-2</v>
      </c>
      <c r="K644" s="38">
        <v>1.7696322E-2</v>
      </c>
      <c r="L644" s="40">
        <v>3.8092508150000004</v>
      </c>
    </row>
    <row r="645" spans="1:12" hidden="1">
      <c r="A645" s="37" t="s">
        <v>1446</v>
      </c>
      <c r="B645" s="37"/>
      <c r="C645" s="37" t="s">
        <v>811</v>
      </c>
      <c r="D645" s="64">
        <v>25043</v>
      </c>
      <c r="E645" s="38">
        <v>2.5099999999999998</v>
      </c>
      <c r="F645" s="39">
        <v>1.8954534999999999</v>
      </c>
      <c r="G645" s="38">
        <v>0.59397454000000005</v>
      </c>
      <c r="H645" s="38">
        <v>0.18549789</v>
      </c>
      <c r="I645" s="38">
        <v>0.25042701000000001</v>
      </c>
      <c r="J645" s="38">
        <v>3.7768032999999999E-2</v>
      </c>
      <c r="K645" s="38">
        <v>1.7696322E-2</v>
      </c>
      <c r="L645" s="40">
        <v>2.980817295</v>
      </c>
    </row>
    <row r="646" spans="1:12" hidden="1">
      <c r="A646" s="37" t="s">
        <v>1447</v>
      </c>
      <c r="B646" s="37"/>
      <c r="C646" s="37" t="s">
        <v>811</v>
      </c>
      <c r="D646" s="64">
        <v>25029</v>
      </c>
      <c r="E646" s="38">
        <v>2.5499999999999998</v>
      </c>
      <c r="F646" s="39">
        <v>12.98063</v>
      </c>
      <c r="G646" s="38">
        <v>0.26451796999999999</v>
      </c>
      <c r="H646" s="38">
        <v>0.18549789</v>
      </c>
      <c r="I646" s="38">
        <v>0.21932346999999999</v>
      </c>
      <c r="J646" s="38">
        <v>3.7768032999999999E-2</v>
      </c>
      <c r="K646" s="38">
        <v>1.7696322E-2</v>
      </c>
      <c r="L646" s="40">
        <v>13.705433685000003</v>
      </c>
    </row>
    <row r="647" spans="1:12" hidden="1">
      <c r="A647" s="37" t="s">
        <v>1448</v>
      </c>
      <c r="B647" s="37"/>
      <c r="C647" s="37" t="s">
        <v>811</v>
      </c>
      <c r="D647" s="64">
        <v>25107</v>
      </c>
      <c r="E647" s="38">
        <v>2.82</v>
      </c>
      <c r="F647" s="39">
        <v>3.0639953000000002</v>
      </c>
      <c r="G647" s="38">
        <v>0.22681291000000001</v>
      </c>
      <c r="H647" s="38">
        <v>0.18549789</v>
      </c>
      <c r="I647" s="38">
        <v>0.52219663000000005</v>
      </c>
      <c r="J647" s="38">
        <v>3.7768032999999999E-2</v>
      </c>
      <c r="K647" s="38">
        <v>1.7696322E-2</v>
      </c>
      <c r="L647" s="40">
        <v>4.053967085</v>
      </c>
    </row>
    <row r="648" spans="1:12" hidden="1">
      <c r="A648" s="37" t="s">
        <v>1449</v>
      </c>
      <c r="B648" s="37"/>
      <c r="C648" s="37" t="s">
        <v>811</v>
      </c>
      <c r="D648" s="64">
        <v>25138</v>
      </c>
      <c r="E648" s="38">
        <v>2.5099999999999998</v>
      </c>
      <c r="F648" s="39">
        <v>1.6817009999999999</v>
      </c>
      <c r="G648" s="38">
        <v>0.55170595</v>
      </c>
      <c r="H648" s="38">
        <v>0.18549789</v>
      </c>
      <c r="I648" s="38">
        <v>0.24684707</v>
      </c>
      <c r="J648" s="38">
        <v>3.7768032999999999E-2</v>
      </c>
      <c r="K648" s="38">
        <v>1.7696322E-2</v>
      </c>
      <c r="L648" s="40">
        <v>2.7212162649999998</v>
      </c>
    </row>
    <row r="649" spans="1:12" hidden="1">
      <c r="A649" s="37" t="s">
        <v>1450</v>
      </c>
      <c r="B649" s="37"/>
      <c r="C649" s="37" t="s">
        <v>811</v>
      </c>
      <c r="D649" s="64">
        <v>25150</v>
      </c>
      <c r="E649" s="38">
        <v>2.36</v>
      </c>
      <c r="F649" s="39">
        <v>0.18056939999999999</v>
      </c>
      <c r="G649" s="38">
        <v>0.25477434999999998</v>
      </c>
      <c r="H649" s="38">
        <v>0.18549789</v>
      </c>
      <c r="I649" s="38">
        <v>0.22164391999999999</v>
      </c>
      <c r="J649" s="38">
        <v>3.7768032999999999E-2</v>
      </c>
      <c r="K649" s="38">
        <v>1.7696322E-2</v>
      </c>
      <c r="L649" s="40">
        <v>0.89794991499999999</v>
      </c>
    </row>
    <row r="650" spans="1:12" hidden="1">
      <c r="A650" s="37" t="s">
        <v>1451</v>
      </c>
      <c r="B650" s="37"/>
      <c r="C650" s="37" t="s">
        <v>811</v>
      </c>
      <c r="D650" s="64">
        <v>25127</v>
      </c>
      <c r="E650" s="38">
        <v>2.83</v>
      </c>
      <c r="F650" s="39">
        <v>2.8615560000000002</v>
      </c>
      <c r="G650" s="38">
        <v>0.46758587000000001</v>
      </c>
      <c r="H650" s="38">
        <v>0.18549789</v>
      </c>
      <c r="I650" s="38">
        <v>0.23914669999999999</v>
      </c>
      <c r="J650" s="38">
        <v>3.7768032999999999E-2</v>
      </c>
      <c r="K650" s="38">
        <v>1.7696322E-2</v>
      </c>
      <c r="L650" s="40">
        <v>3.8092508150000004</v>
      </c>
    </row>
    <row r="651" spans="1:12" hidden="1">
      <c r="A651" s="37" t="s">
        <v>1452</v>
      </c>
      <c r="B651" s="37"/>
      <c r="C651" s="37" t="s">
        <v>1181</v>
      </c>
      <c r="D651" s="64">
        <v>10025</v>
      </c>
      <c r="E651" s="38">
        <v>2.2355153099404852</v>
      </c>
      <c r="F651" s="39">
        <v>15.397216</v>
      </c>
      <c r="G651" s="38">
        <v>12.401368</v>
      </c>
      <c r="H651" s="38">
        <v>0</v>
      </c>
      <c r="I651" s="38">
        <v>1.1391469000000001</v>
      </c>
      <c r="J651" s="38">
        <v>0.17032402999999999</v>
      </c>
      <c r="K651" s="38">
        <v>1.8546761</v>
      </c>
      <c r="L651" s="40">
        <v>30.962731029999997</v>
      </c>
    </row>
    <row r="652" spans="1:12" hidden="1">
      <c r="A652" s="37" t="s">
        <v>1453</v>
      </c>
      <c r="B652" s="37"/>
      <c r="C652" s="37" t="s">
        <v>1454</v>
      </c>
      <c r="D652" s="64">
        <v>39700</v>
      </c>
      <c r="E652" s="38">
        <v>1.78</v>
      </c>
      <c r="F652" s="39">
        <v>1.1068610999999999</v>
      </c>
      <c r="G652" s="38">
        <v>0.18742151000000001</v>
      </c>
      <c r="H652" s="38">
        <v>0.17709348</v>
      </c>
      <c r="I652" s="38">
        <v>0.21894274</v>
      </c>
      <c r="J652" s="38">
        <v>3.9976882999999998E-2</v>
      </c>
      <c r="K652" s="38">
        <v>6.6736979E-3</v>
      </c>
      <c r="L652" s="40">
        <v>1.7369694108999998</v>
      </c>
    </row>
    <row r="653" spans="1:12" hidden="1">
      <c r="A653" s="37" t="s">
        <v>1455</v>
      </c>
      <c r="B653" s="37"/>
      <c r="C653" s="37" t="s">
        <v>1085</v>
      </c>
      <c r="D653" s="64">
        <v>39211</v>
      </c>
      <c r="E653" s="38">
        <v>2.41</v>
      </c>
      <c r="F653" s="39">
        <v>2.9048446000000001</v>
      </c>
      <c r="G653" s="38">
        <v>0.22451191000000001</v>
      </c>
      <c r="H653" s="38">
        <v>0.18549789</v>
      </c>
      <c r="I653" s="38">
        <v>0.24302297</v>
      </c>
      <c r="J653" s="38">
        <v>3.7768032999999999E-2</v>
      </c>
      <c r="K653" s="38">
        <v>6.6736979E-3</v>
      </c>
      <c r="L653" s="40">
        <v>3.6023191009000004</v>
      </c>
    </row>
    <row r="654" spans="1:12" hidden="1">
      <c r="A654" s="37" t="s">
        <v>1456</v>
      </c>
      <c r="B654" s="37"/>
      <c r="C654" s="37" t="s">
        <v>1085</v>
      </c>
      <c r="D654" s="64">
        <v>39213</v>
      </c>
      <c r="E654" s="38">
        <v>3.07</v>
      </c>
      <c r="F654" s="39">
        <v>1.2395217999999999</v>
      </c>
      <c r="G654" s="38">
        <v>0.23136316000000001</v>
      </c>
      <c r="H654" s="38">
        <v>0.18549789</v>
      </c>
      <c r="I654" s="38">
        <v>0.20028542999999999</v>
      </c>
      <c r="J654" s="38">
        <v>3.7768032999999999E-2</v>
      </c>
      <c r="K654" s="38">
        <v>6.6736979E-3</v>
      </c>
      <c r="L654" s="40">
        <v>1.9011100108999996</v>
      </c>
    </row>
    <row r="655" spans="1:12" hidden="1">
      <c r="A655" s="37" t="s">
        <v>1457</v>
      </c>
      <c r="B655" s="37"/>
      <c r="C655" s="37" t="s">
        <v>1085</v>
      </c>
      <c r="D655" s="64">
        <v>39209</v>
      </c>
      <c r="E655" s="38">
        <v>2.36</v>
      </c>
      <c r="F655" s="39">
        <v>1.1555723</v>
      </c>
      <c r="G655" s="38">
        <v>0.18733905000000001</v>
      </c>
      <c r="H655" s="38">
        <v>0.18549789</v>
      </c>
      <c r="I655" s="38">
        <v>0.21095</v>
      </c>
      <c r="J655" s="38">
        <v>3.7768032999999999E-2</v>
      </c>
      <c r="K655" s="38">
        <v>6.6736979E-3</v>
      </c>
      <c r="L655" s="40">
        <v>1.7838009709</v>
      </c>
    </row>
    <row r="656" spans="1:12" hidden="1">
      <c r="A656" s="41" t="s">
        <v>1458</v>
      </c>
      <c r="B656" s="41"/>
      <c r="C656" s="41" t="s">
        <v>1459</v>
      </c>
      <c r="D656" s="65">
        <v>19420</v>
      </c>
      <c r="E656" s="42">
        <v>3.16</v>
      </c>
      <c r="F656" s="43">
        <v>1.2441576999999999</v>
      </c>
      <c r="G656" s="42">
        <v>0.13986928000000001</v>
      </c>
      <c r="H656" s="42">
        <v>0.18768086</v>
      </c>
      <c r="I656" s="42">
        <v>0.10751897000000001</v>
      </c>
      <c r="J656" s="42">
        <v>1.7515056000000001E-2</v>
      </c>
      <c r="K656" s="42">
        <v>0</v>
      </c>
      <c r="L656" s="44">
        <v>1.696741866</v>
      </c>
    </row>
    <row r="657" spans="1:12" hidden="1">
      <c r="A657" s="37" t="s">
        <v>1460</v>
      </c>
      <c r="B657" s="37"/>
      <c r="C657" s="37" t="s">
        <v>657</v>
      </c>
      <c r="D657" s="64">
        <v>1021</v>
      </c>
      <c r="E657" s="38">
        <v>2.97</v>
      </c>
      <c r="F657" s="39">
        <v>0.70134974999999999</v>
      </c>
      <c r="G657" s="38">
        <v>9.4010996999999999E-2</v>
      </c>
      <c r="H657" s="38">
        <v>0.47782284000000003</v>
      </c>
      <c r="I657" s="38">
        <v>0.18201410000000001</v>
      </c>
      <c r="J657" s="38">
        <v>1.5108570999999999E-2</v>
      </c>
      <c r="K657" s="38">
        <v>6.6736979E-3</v>
      </c>
      <c r="L657" s="40">
        <v>1.4769799559000001</v>
      </c>
    </row>
    <row r="658" spans="1:12" hidden="1">
      <c r="A658" s="41" t="s">
        <v>1461</v>
      </c>
      <c r="B658" s="41"/>
      <c r="C658" s="41" t="s">
        <v>1459</v>
      </c>
      <c r="D658" s="65">
        <v>19431</v>
      </c>
      <c r="E658" s="42">
        <v>4.08</v>
      </c>
      <c r="F658" s="43">
        <v>1.9926009</v>
      </c>
      <c r="G658" s="42">
        <v>0.12902031</v>
      </c>
      <c r="H658" s="42">
        <v>0.18031662000000001</v>
      </c>
      <c r="I658" s="42">
        <v>0.18373555999999999</v>
      </c>
      <c r="J658" s="42">
        <v>3.5969872999999999E-2</v>
      </c>
      <c r="K658" s="42">
        <v>6.6736979E-3</v>
      </c>
      <c r="L658" s="44">
        <v>2.5283169609000002</v>
      </c>
    </row>
    <row r="659" spans="1:12" hidden="1">
      <c r="A659" s="37" t="s">
        <v>1462</v>
      </c>
      <c r="B659" s="37"/>
      <c r="C659" s="37" t="s">
        <v>1459</v>
      </c>
      <c r="D659" s="64">
        <v>19430</v>
      </c>
      <c r="E659" s="38">
        <v>4.08</v>
      </c>
      <c r="F659" s="39">
        <v>1.9926009</v>
      </c>
      <c r="G659" s="38">
        <v>0.12902031</v>
      </c>
      <c r="H659" s="38">
        <v>0.18031662000000001</v>
      </c>
      <c r="I659" s="38">
        <v>0.10226987999999999</v>
      </c>
      <c r="J659" s="38">
        <v>1.5735385000000001E-2</v>
      </c>
      <c r="K659" s="38">
        <v>0</v>
      </c>
      <c r="L659" s="40">
        <v>2.4199430950000003</v>
      </c>
    </row>
    <row r="660" spans="1:12" hidden="1">
      <c r="A660" s="41" t="s">
        <v>1463</v>
      </c>
      <c r="B660" s="41"/>
      <c r="C660" s="41" t="s">
        <v>1459</v>
      </c>
      <c r="D660" s="65">
        <v>19410</v>
      </c>
      <c r="E660" s="42">
        <v>4.08</v>
      </c>
      <c r="F660" s="43">
        <v>3.0996014000000001</v>
      </c>
      <c r="G660" s="42">
        <v>0.12902031</v>
      </c>
      <c r="H660" s="42">
        <v>0.18031662000000001</v>
      </c>
      <c r="I660" s="42">
        <v>0.18373555999999999</v>
      </c>
      <c r="J660" s="42">
        <v>3.6552071999999998E-2</v>
      </c>
      <c r="K660" s="42">
        <v>6.6736979E-3</v>
      </c>
      <c r="L660" s="44">
        <v>3.6358996599000006</v>
      </c>
    </row>
    <row r="661" spans="1:12" hidden="1">
      <c r="A661" s="37" t="s">
        <v>1464</v>
      </c>
      <c r="B661" s="37"/>
      <c r="C661" s="37" t="s">
        <v>1459</v>
      </c>
      <c r="D661" s="64">
        <v>19415</v>
      </c>
      <c r="E661" s="38">
        <v>4.08</v>
      </c>
      <c r="F661" s="39">
        <v>3.0996014000000001</v>
      </c>
      <c r="G661" s="38">
        <v>0.12902031</v>
      </c>
      <c r="H661" s="38">
        <v>0.18031662000000001</v>
      </c>
      <c r="I661" s="38">
        <v>0.10226987999999999</v>
      </c>
      <c r="J661" s="38">
        <v>1.5735385000000001E-2</v>
      </c>
      <c r="K661" s="38">
        <v>0</v>
      </c>
      <c r="L661" s="40">
        <v>3.5269435950000005</v>
      </c>
    </row>
    <row r="662" spans="1:12" hidden="1">
      <c r="A662" s="37" t="s">
        <v>1465</v>
      </c>
      <c r="B662" s="37"/>
      <c r="C662" s="37" t="s">
        <v>637</v>
      </c>
      <c r="D662" s="64">
        <v>15013</v>
      </c>
      <c r="E662" s="38">
        <v>3.53</v>
      </c>
      <c r="F662" s="39">
        <v>0.95788808999999997</v>
      </c>
      <c r="G662" s="38">
        <v>0.36283815000000003</v>
      </c>
      <c r="H662" s="38">
        <v>0.18955420000000001</v>
      </c>
      <c r="I662" s="38">
        <v>0.14269963999999999</v>
      </c>
      <c r="J662" s="38">
        <v>1.9444221000000001E-2</v>
      </c>
      <c r="K662" s="38">
        <v>0</v>
      </c>
      <c r="L662" s="40">
        <v>1.6724243009999999</v>
      </c>
    </row>
    <row r="663" spans="1:12" hidden="1">
      <c r="A663" s="37" t="s">
        <v>1466</v>
      </c>
      <c r="B663" s="37"/>
      <c r="C663" s="37" t="s">
        <v>637</v>
      </c>
      <c r="D663" s="64">
        <v>15016</v>
      </c>
      <c r="E663" s="38">
        <v>3.53</v>
      </c>
      <c r="F663" s="39">
        <v>0.86640978000000002</v>
      </c>
      <c r="G663" s="38">
        <v>0.32818711</v>
      </c>
      <c r="H663" s="38">
        <v>0.17146364</v>
      </c>
      <c r="I663" s="38">
        <v>0.13164484000000001</v>
      </c>
      <c r="J663" s="38">
        <v>1.5811623E-2</v>
      </c>
      <c r="K663" s="38">
        <v>0</v>
      </c>
      <c r="L663" s="40">
        <v>1.5135169930000003</v>
      </c>
    </row>
    <row r="664" spans="1:12" hidden="1">
      <c r="A664" s="37" t="s">
        <v>1467</v>
      </c>
      <c r="B664" s="37"/>
      <c r="C664" s="37" t="s">
        <v>1085</v>
      </c>
      <c r="D664" s="64">
        <v>39214</v>
      </c>
      <c r="E664" s="38">
        <v>3.07</v>
      </c>
      <c r="F664" s="39">
        <v>0.96339160999999995</v>
      </c>
      <c r="G664" s="38">
        <v>0.19337017000000001</v>
      </c>
      <c r="H664" s="38">
        <v>0.1795842</v>
      </c>
      <c r="I664" s="38">
        <v>0.12653402999999999</v>
      </c>
      <c r="J664" s="38">
        <v>1.7262405000000001E-2</v>
      </c>
      <c r="K664" s="38">
        <v>6.6736979E-3</v>
      </c>
      <c r="L664" s="40">
        <v>1.4868161129000002</v>
      </c>
    </row>
    <row r="665" spans="1:12" hidden="1">
      <c r="A665" s="37" t="s">
        <v>1468</v>
      </c>
      <c r="B665" s="37"/>
      <c r="C665" s="37" t="s">
        <v>1085</v>
      </c>
      <c r="D665" s="64">
        <v>39229</v>
      </c>
      <c r="E665" s="38">
        <v>3.07</v>
      </c>
      <c r="F665" s="39">
        <v>0.96339160999999995</v>
      </c>
      <c r="G665" s="38">
        <v>0.19337017000000001</v>
      </c>
      <c r="H665" s="38">
        <v>0.18549789</v>
      </c>
      <c r="I665" s="38">
        <v>0.20571318</v>
      </c>
      <c r="J665" s="38">
        <v>3.7768032999999999E-2</v>
      </c>
      <c r="K665" s="38">
        <v>6.6736979E-3</v>
      </c>
      <c r="L665" s="40">
        <v>1.5924145809000001</v>
      </c>
    </row>
    <row r="666" spans="1:12" hidden="1">
      <c r="A666" s="37" t="s">
        <v>1469</v>
      </c>
      <c r="B666" s="37"/>
      <c r="C666" s="37" t="s">
        <v>1085</v>
      </c>
      <c r="D666" s="64">
        <v>39246</v>
      </c>
      <c r="E666" s="38">
        <v>3.52</v>
      </c>
      <c r="F666" s="39">
        <v>0.96339160999999995</v>
      </c>
      <c r="G666" s="38">
        <v>0.19337017000000001</v>
      </c>
      <c r="H666" s="38">
        <v>0.18549789</v>
      </c>
      <c r="I666" s="38">
        <v>0.20571318</v>
      </c>
      <c r="J666" s="38">
        <v>3.7768032999999999E-2</v>
      </c>
      <c r="K666" s="38">
        <v>6.6736979E-3</v>
      </c>
      <c r="L666" s="40">
        <v>1.5924145809000001</v>
      </c>
    </row>
    <row r="667" spans="1:12" hidden="1">
      <c r="A667" s="37" t="s">
        <v>1470</v>
      </c>
      <c r="B667" s="37"/>
      <c r="C667" s="37" t="s">
        <v>1085</v>
      </c>
      <c r="D667" s="64">
        <v>39247</v>
      </c>
      <c r="E667" s="38">
        <v>3.52</v>
      </c>
      <c r="F667" s="39">
        <v>0.96339160999999995</v>
      </c>
      <c r="G667" s="38">
        <v>0.19337017000000001</v>
      </c>
      <c r="H667" s="38">
        <v>0.18549789</v>
      </c>
      <c r="I667" s="38">
        <v>0.20571318</v>
      </c>
      <c r="J667" s="38">
        <v>3.7768032999999999E-2</v>
      </c>
      <c r="K667" s="38">
        <v>6.6736979E-3</v>
      </c>
      <c r="L667" s="40">
        <v>1.5924145809000001</v>
      </c>
    </row>
    <row r="668" spans="1:12" hidden="1">
      <c r="A668" s="37" t="s">
        <v>1471</v>
      </c>
      <c r="B668" s="37"/>
      <c r="C668" s="37" t="s">
        <v>1085</v>
      </c>
      <c r="D668" s="64">
        <v>39506</v>
      </c>
      <c r="E668" s="38">
        <v>2.21</v>
      </c>
      <c r="F668" s="39">
        <v>2.7571102000000001</v>
      </c>
      <c r="G668" s="38">
        <v>0.19326160000000001</v>
      </c>
      <c r="H668" s="38">
        <v>0.1795842</v>
      </c>
      <c r="I668" s="38">
        <v>0.15192062000000001</v>
      </c>
      <c r="J668" s="38">
        <v>1.7262405000000001E-2</v>
      </c>
      <c r="K668" s="38">
        <v>6.6736979E-3</v>
      </c>
      <c r="L668" s="40">
        <v>3.3058127228999998</v>
      </c>
    </row>
    <row r="669" spans="1:12" hidden="1">
      <c r="A669" s="37" t="s">
        <v>1472</v>
      </c>
      <c r="B669" s="37"/>
      <c r="C669" s="37" t="s">
        <v>1085</v>
      </c>
      <c r="D669" s="64">
        <v>39200</v>
      </c>
      <c r="E669" s="38">
        <v>2.21</v>
      </c>
      <c r="F669" s="39">
        <v>2.7571102000000001</v>
      </c>
      <c r="G669" s="38">
        <v>0.19326160000000001</v>
      </c>
      <c r="H669" s="38">
        <v>0.18549789</v>
      </c>
      <c r="I669" s="38">
        <v>0.23109977000000001</v>
      </c>
      <c r="J669" s="38">
        <v>3.7768032999999999E-2</v>
      </c>
      <c r="K669" s="38">
        <v>6.6736979E-3</v>
      </c>
      <c r="L669" s="40">
        <v>3.4114111909000004</v>
      </c>
    </row>
    <row r="670" spans="1:12" hidden="1">
      <c r="A670" s="37" t="s">
        <v>1473</v>
      </c>
      <c r="B670" s="37"/>
      <c r="C670" s="37" t="s">
        <v>1085</v>
      </c>
      <c r="D670" s="64">
        <v>19673</v>
      </c>
      <c r="E670" s="38">
        <v>3.52</v>
      </c>
      <c r="F670" s="39">
        <v>0.96339160999999995</v>
      </c>
      <c r="G670" s="38">
        <v>0.19337017000000001</v>
      </c>
      <c r="H670" s="38">
        <v>0.18549789</v>
      </c>
      <c r="I670" s="38">
        <v>0.20571318</v>
      </c>
      <c r="J670" s="38">
        <v>3.7768032999999999E-2</v>
      </c>
      <c r="K670" s="38">
        <v>6.6736979E-3</v>
      </c>
      <c r="L670" s="40">
        <v>1.5924145809000001</v>
      </c>
    </row>
    <row r="671" spans="1:12" hidden="1">
      <c r="A671" s="37" t="s">
        <v>1474</v>
      </c>
      <c r="B671" s="37"/>
      <c r="C671" s="37" t="s">
        <v>1085</v>
      </c>
      <c r="D671" s="64">
        <v>39710</v>
      </c>
      <c r="E671" s="38">
        <v>1.9</v>
      </c>
      <c r="F671" s="39">
        <v>0.83600613000000001</v>
      </c>
      <c r="G671" s="38">
        <v>0.18606644999999999</v>
      </c>
      <c r="H671" s="38">
        <v>0.10404417000000001</v>
      </c>
      <c r="I671" s="38">
        <v>0.21631575</v>
      </c>
      <c r="J671" s="38">
        <v>3.7768032999999999E-2</v>
      </c>
      <c r="K671" s="38">
        <v>6.6736979E-3</v>
      </c>
      <c r="L671" s="40">
        <v>1.3868742309000002</v>
      </c>
    </row>
    <row r="672" spans="1:12" hidden="1">
      <c r="A672" s="41" t="s">
        <v>1475</v>
      </c>
      <c r="B672" s="41"/>
      <c r="C672" s="41" t="s">
        <v>623</v>
      </c>
      <c r="D672" s="65">
        <v>24370</v>
      </c>
      <c r="E672" s="42">
        <v>2.4900000000000002</v>
      </c>
      <c r="F672" s="43">
        <v>4.8839572999999996</v>
      </c>
      <c r="G672" s="42">
        <v>0.28339723</v>
      </c>
      <c r="H672" s="42">
        <v>0.10985644999999999</v>
      </c>
      <c r="I672" s="42">
        <v>0.16499844999999999</v>
      </c>
      <c r="J672" s="42">
        <v>1.9437894000000001E-2</v>
      </c>
      <c r="K672" s="42">
        <v>0</v>
      </c>
      <c r="L672" s="44">
        <v>5.4616473239999994</v>
      </c>
    </row>
    <row r="673" spans="1:12" hidden="1">
      <c r="A673" s="41" t="s">
        <v>1476</v>
      </c>
      <c r="B673" s="41"/>
      <c r="C673" s="41" t="s">
        <v>623</v>
      </c>
      <c r="D673" s="65">
        <v>38408</v>
      </c>
      <c r="E673" s="42">
        <v>2.68</v>
      </c>
      <c r="F673" s="43">
        <v>0.85124334999999995</v>
      </c>
      <c r="G673" s="42">
        <v>0.29801520999999997</v>
      </c>
      <c r="H673" s="42">
        <v>0.28132688</v>
      </c>
      <c r="I673" s="42">
        <v>0.13754464</v>
      </c>
      <c r="J673" s="42">
        <v>1.9437894000000001E-2</v>
      </c>
      <c r="K673" s="42">
        <v>0</v>
      </c>
      <c r="L673" s="44">
        <v>1.5875679739999997</v>
      </c>
    </row>
    <row r="674" spans="1:12" hidden="1">
      <c r="A674" s="41" t="s">
        <v>1477</v>
      </c>
      <c r="B674" s="41"/>
      <c r="C674" s="41" t="s">
        <v>623</v>
      </c>
      <c r="D674" s="65">
        <v>24371</v>
      </c>
      <c r="E674" s="42">
        <v>2.59</v>
      </c>
      <c r="F674" s="43">
        <v>5.9889308000000003</v>
      </c>
      <c r="G674" s="42">
        <v>0.33136843999999999</v>
      </c>
      <c r="H674" s="42">
        <v>0.10982941</v>
      </c>
      <c r="I674" s="42">
        <v>0.20759383000000001</v>
      </c>
      <c r="J674" s="42">
        <v>1.9437894000000001E-2</v>
      </c>
      <c r="K674" s="42">
        <v>0</v>
      </c>
      <c r="L674" s="44">
        <v>6.6571603740000009</v>
      </c>
    </row>
    <row r="675" spans="1:12" hidden="1">
      <c r="A675" s="37" t="s">
        <v>1478</v>
      </c>
      <c r="B675" s="37"/>
      <c r="C675" s="37" t="s">
        <v>668</v>
      </c>
      <c r="D675" s="64">
        <v>23820</v>
      </c>
      <c r="E675" s="38">
        <v>2.8</v>
      </c>
      <c r="F675" s="39">
        <v>0.96313245999999997</v>
      </c>
      <c r="G675" s="38">
        <v>0.21510898000000001</v>
      </c>
      <c r="H675" s="38">
        <v>0.28122774</v>
      </c>
      <c r="I675" s="38">
        <v>0.12688025</v>
      </c>
      <c r="J675" s="38">
        <v>1.9437894000000001E-2</v>
      </c>
      <c r="K675" s="38">
        <v>0</v>
      </c>
      <c r="L675" s="40">
        <v>1.6057873239999998</v>
      </c>
    </row>
    <row r="676" spans="1:12" hidden="1">
      <c r="A676" s="37" t="s">
        <v>1479</v>
      </c>
      <c r="B676" s="37"/>
      <c r="C676" s="37" t="s">
        <v>668</v>
      </c>
      <c r="D676" s="64">
        <v>23821</v>
      </c>
      <c r="E676" s="38">
        <v>2.8</v>
      </c>
      <c r="F676" s="39">
        <v>0.96313245999999997</v>
      </c>
      <c r="G676" s="38">
        <v>0.21510898000000001</v>
      </c>
      <c r="H676" s="38">
        <v>0.28122774</v>
      </c>
      <c r="I676" s="38">
        <v>0.12688025</v>
      </c>
      <c r="J676" s="38">
        <v>1.9437894000000001E-2</v>
      </c>
      <c r="K676" s="38">
        <v>0</v>
      </c>
      <c r="L676" s="40">
        <v>1.6057873239999998</v>
      </c>
    </row>
    <row r="677" spans="1:12" hidden="1">
      <c r="A677" s="37" t="s">
        <v>1480</v>
      </c>
      <c r="B677" s="37"/>
      <c r="C677" s="37" t="s">
        <v>644</v>
      </c>
      <c r="D677" s="64">
        <v>25572</v>
      </c>
      <c r="E677" s="38">
        <v>2.2200000000000002</v>
      </c>
      <c r="F677" s="39">
        <v>2.9932284999999998</v>
      </c>
      <c r="G677" s="38">
        <v>0.57972402000000001</v>
      </c>
      <c r="H677" s="38">
        <v>0.10402936</v>
      </c>
      <c r="I677" s="38">
        <v>1.0993793000000001</v>
      </c>
      <c r="J677" s="38">
        <v>3.7768032999999999E-2</v>
      </c>
      <c r="K677" s="38">
        <v>9.2564276000000001E-2</v>
      </c>
      <c r="L677" s="40">
        <v>4.9066934890000002</v>
      </c>
    </row>
    <row r="678" spans="1:12" hidden="1">
      <c r="A678" s="37" t="s">
        <v>1481</v>
      </c>
      <c r="B678" s="37"/>
      <c r="C678" s="37" t="s">
        <v>644</v>
      </c>
      <c r="D678" s="64">
        <v>25562</v>
      </c>
      <c r="E678" s="38">
        <v>1.86</v>
      </c>
      <c r="F678" s="39">
        <v>2.8838339999999998</v>
      </c>
      <c r="G678" s="38">
        <v>0.31247765</v>
      </c>
      <c r="H678" s="38">
        <v>0.19678283999999999</v>
      </c>
      <c r="I678" s="38">
        <v>0.23461741999999999</v>
      </c>
      <c r="J678" s="38">
        <v>3.7768032999999999E-2</v>
      </c>
      <c r="K678" s="38">
        <v>9.2564276000000001E-2</v>
      </c>
      <c r="L678" s="40">
        <v>3.7580442189999999</v>
      </c>
    </row>
    <row r="679" spans="1:12" hidden="1">
      <c r="A679" s="37" t="s">
        <v>1482</v>
      </c>
      <c r="B679" s="37"/>
      <c r="C679" s="37" t="s">
        <v>644</v>
      </c>
      <c r="D679" s="64">
        <v>25625</v>
      </c>
      <c r="E679" s="38">
        <v>2.89</v>
      </c>
      <c r="F679" s="39">
        <v>2.0890570999999998</v>
      </c>
      <c r="G679" s="38">
        <v>0.19497065</v>
      </c>
      <c r="H679" s="38">
        <v>0.10402936</v>
      </c>
      <c r="I679" s="38">
        <v>0.37385816999999999</v>
      </c>
      <c r="J679" s="38">
        <v>3.7768032999999999E-2</v>
      </c>
      <c r="K679" s="38">
        <v>9.2564276000000001E-2</v>
      </c>
      <c r="L679" s="40">
        <v>2.8922475890000001</v>
      </c>
    </row>
    <row r="680" spans="1:12" hidden="1">
      <c r="A680" s="37" t="s">
        <v>1483</v>
      </c>
      <c r="B680" s="37"/>
      <c r="C680" s="37" t="s">
        <v>644</v>
      </c>
      <c r="D680" s="64">
        <v>25411</v>
      </c>
      <c r="E680" s="38">
        <v>1.82</v>
      </c>
      <c r="F680" s="39">
        <v>2.7249346999999999</v>
      </c>
      <c r="G680" s="38">
        <v>0.19081793</v>
      </c>
      <c r="H680" s="38">
        <v>0.10402936</v>
      </c>
      <c r="I680" s="38">
        <v>0.23625539000000001</v>
      </c>
      <c r="J680" s="38">
        <v>3.7768032999999999E-2</v>
      </c>
      <c r="K680" s="38">
        <v>9.2564276000000001E-2</v>
      </c>
      <c r="L680" s="40">
        <v>3.3863696890000003</v>
      </c>
    </row>
    <row r="681" spans="1:12" hidden="1">
      <c r="A681" s="37" t="s">
        <v>1484</v>
      </c>
      <c r="B681" s="37"/>
      <c r="C681" s="37" t="s">
        <v>644</v>
      </c>
      <c r="D681" s="64">
        <v>25581</v>
      </c>
      <c r="E681" s="38">
        <v>2.3199999999999998</v>
      </c>
      <c r="F681" s="39">
        <v>3.0455530999999998</v>
      </c>
      <c r="G681" s="38">
        <v>0.37336211000000002</v>
      </c>
      <c r="H681" s="38">
        <v>0.24003806</v>
      </c>
      <c r="I681" s="38">
        <v>0.23073319</v>
      </c>
      <c r="J681" s="38">
        <v>3.7768032999999999E-2</v>
      </c>
      <c r="K681" s="38">
        <v>9.2564276000000001E-2</v>
      </c>
      <c r="L681" s="40">
        <v>4.0200187689999991</v>
      </c>
    </row>
    <row r="682" spans="1:12" hidden="1">
      <c r="A682" s="37" t="s">
        <v>1485</v>
      </c>
      <c r="B682" s="37"/>
      <c r="C682" s="37" t="s">
        <v>644</v>
      </c>
      <c r="D682" s="64">
        <v>25549</v>
      </c>
      <c r="E682" s="38">
        <v>1.92</v>
      </c>
      <c r="F682" s="39">
        <v>1.6904901000000001</v>
      </c>
      <c r="G682" s="38">
        <v>0.25051688999999999</v>
      </c>
      <c r="H682" s="38">
        <v>0.10402936</v>
      </c>
      <c r="I682" s="38">
        <v>0.23398050000000001</v>
      </c>
      <c r="J682" s="38">
        <v>3.7768032999999999E-2</v>
      </c>
      <c r="K682" s="38">
        <v>9.2564276000000001E-2</v>
      </c>
      <c r="L682" s="40">
        <v>2.409349159</v>
      </c>
    </row>
    <row r="683" spans="1:12" hidden="1">
      <c r="A683" s="37" t="s">
        <v>1486</v>
      </c>
      <c r="B683" s="37"/>
      <c r="C683" s="37" t="s">
        <v>644</v>
      </c>
      <c r="D683" s="64">
        <v>25409</v>
      </c>
      <c r="E683" s="38">
        <v>1.92</v>
      </c>
      <c r="F683" s="39">
        <v>3.0455530999999998</v>
      </c>
      <c r="G683" s="38">
        <v>0.37336211000000002</v>
      </c>
      <c r="H683" s="38">
        <v>0.24003806</v>
      </c>
      <c r="I683" s="38">
        <v>0.23073319</v>
      </c>
      <c r="J683" s="38">
        <v>3.7768032999999999E-2</v>
      </c>
      <c r="K683" s="38">
        <v>9.2564276000000001E-2</v>
      </c>
      <c r="L683" s="40">
        <v>4.0200187689999991</v>
      </c>
    </row>
    <row r="684" spans="1:12" hidden="1">
      <c r="A684" s="37" t="s">
        <v>1487</v>
      </c>
      <c r="B684" s="37"/>
      <c r="C684" s="37" t="s">
        <v>644</v>
      </c>
      <c r="D684" s="64">
        <v>25410</v>
      </c>
      <c r="E684" s="38">
        <v>1.92</v>
      </c>
      <c r="F684" s="39">
        <v>3.0455530999999998</v>
      </c>
      <c r="G684" s="38">
        <v>0.37336211000000002</v>
      </c>
      <c r="H684" s="38">
        <v>0.24003806</v>
      </c>
      <c r="I684" s="38">
        <v>0.23073319</v>
      </c>
      <c r="J684" s="38">
        <v>3.7768032999999999E-2</v>
      </c>
      <c r="K684" s="38">
        <v>9.2564276000000001E-2</v>
      </c>
      <c r="L684" s="40">
        <v>4.0200187689999991</v>
      </c>
    </row>
    <row r="685" spans="1:12" hidden="1">
      <c r="A685" s="37" t="s">
        <v>1488</v>
      </c>
      <c r="B685" s="37"/>
      <c r="C685" s="37" t="s">
        <v>644</v>
      </c>
      <c r="D685" s="64">
        <v>25552</v>
      </c>
      <c r="E685" s="38">
        <v>1.92</v>
      </c>
      <c r="F685" s="39">
        <v>3.4643875999999998</v>
      </c>
      <c r="G685" s="38">
        <v>0.32473160000000001</v>
      </c>
      <c r="H685" s="38">
        <v>0.20837702</v>
      </c>
      <c r="I685" s="38">
        <v>0.23577511000000001</v>
      </c>
      <c r="J685" s="38">
        <v>3.7768032999999999E-2</v>
      </c>
      <c r="K685" s="38">
        <v>9.2564276000000001E-2</v>
      </c>
      <c r="L685" s="40">
        <v>4.3636036389999999</v>
      </c>
    </row>
    <row r="686" spans="1:12" hidden="1">
      <c r="A686" s="37" t="s">
        <v>1489</v>
      </c>
      <c r="B686" s="37"/>
      <c r="C686" s="37" t="s">
        <v>668</v>
      </c>
      <c r="D686" s="64">
        <v>23815</v>
      </c>
      <c r="E686" s="38">
        <v>2.41</v>
      </c>
      <c r="F686" s="39">
        <v>0.96313245999999997</v>
      </c>
      <c r="G686" s="38">
        <v>0.21510898000000001</v>
      </c>
      <c r="H686" s="38">
        <v>0.28122774</v>
      </c>
      <c r="I686" s="38">
        <v>0.12688025</v>
      </c>
      <c r="J686" s="38">
        <v>1.9437894000000001E-2</v>
      </c>
      <c r="K686" s="38">
        <v>0</v>
      </c>
      <c r="L686" s="40">
        <v>1.6057873239999998</v>
      </c>
    </row>
    <row r="687" spans="1:12" hidden="1">
      <c r="A687" s="37" t="s">
        <v>1490</v>
      </c>
      <c r="B687" s="37"/>
      <c r="C687" s="37" t="s">
        <v>668</v>
      </c>
      <c r="D687" s="64">
        <v>23829</v>
      </c>
      <c r="E687" s="38">
        <v>2.33</v>
      </c>
      <c r="F687" s="39">
        <v>3.7063700000000002</v>
      </c>
      <c r="G687" s="38">
        <v>0.30832488000000002</v>
      </c>
      <c r="H687" s="38">
        <v>0.28122774</v>
      </c>
      <c r="I687" s="38">
        <v>0.18144827999999999</v>
      </c>
      <c r="J687" s="38">
        <v>1.9437894000000001E-2</v>
      </c>
      <c r="K687" s="38">
        <v>0</v>
      </c>
      <c r="L687" s="40">
        <v>4.4968087940000006</v>
      </c>
    </row>
    <row r="688" spans="1:12" hidden="1">
      <c r="A688" s="37" t="s">
        <v>1491</v>
      </c>
      <c r="B688" s="37"/>
      <c r="C688" s="37" t="s">
        <v>668</v>
      </c>
      <c r="D688" s="64">
        <v>23830</v>
      </c>
      <c r="E688" s="38">
        <v>2.93</v>
      </c>
      <c r="F688" s="39">
        <v>0.97521486999999996</v>
      </c>
      <c r="G688" s="38">
        <v>0.17166403</v>
      </c>
      <c r="H688" s="38">
        <v>0.28122774</v>
      </c>
      <c r="I688" s="38">
        <v>0.1758178</v>
      </c>
      <c r="J688" s="38">
        <v>1.9437894000000001E-2</v>
      </c>
      <c r="K688" s="38">
        <v>0</v>
      </c>
      <c r="L688" s="40">
        <v>1.6233623339999999</v>
      </c>
    </row>
    <row r="689" spans="1:12" hidden="1">
      <c r="A689" s="37" t="s">
        <v>1492</v>
      </c>
      <c r="B689" s="37"/>
      <c r="C689" s="37" t="s">
        <v>668</v>
      </c>
      <c r="D689" s="64">
        <v>23799</v>
      </c>
      <c r="E689" s="38">
        <v>2.27</v>
      </c>
      <c r="F689" s="39">
        <v>1.1605932999999999</v>
      </c>
      <c r="G689" s="38">
        <v>0.17489545000000001</v>
      </c>
      <c r="H689" s="38">
        <v>0.28124157</v>
      </c>
      <c r="I689" s="38">
        <v>0.12640936</v>
      </c>
      <c r="J689" s="38">
        <v>1.9437894000000001E-2</v>
      </c>
      <c r="K689" s="38">
        <v>0</v>
      </c>
      <c r="L689" s="40">
        <v>1.7625775739999998</v>
      </c>
    </row>
    <row r="690" spans="1:12" hidden="1">
      <c r="A690" s="37" t="s">
        <v>1493</v>
      </c>
      <c r="B690" s="37"/>
      <c r="C690" s="37" t="s">
        <v>668</v>
      </c>
      <c r="D690" s="64">
        <v>23800</v>
      </c>
      <c r="E690" s="38">
        <v>2.27</v>
      </c>
      <c r="F690" s="39">
        <v>1.1605932999999999</v>
      </c>
      <c r="G690" s="38">
        <v>0.17489545000000001</v>
      </c>
      <c r="H690" s="38">
        <v>0.28124157</v>
      </c>
      <c r="I690" s="38">
        <v>0.12640936</v>
      </c>
      <c r="J690" s="38">
        <v>1.9437894000000001E-2</v>
      </c>
      <c r="K690" s="38">
        <v>0</v>
      </c>
      <c r="L690" s="40">
        <v>1.7625775739999998</v>
      </c>
    </row>
    <row r="691" spans="1:12" hidden="1">
      <c r="A691" s="37" t="s">
        <v>1494</v>
      </c>
      <c r="B691" s="37"/>
      <c r="C691" s="37" t="s">
        <v>842</v>
      </c>
      <c r="D691" s="64">
        <v>20199</v>
      </c>
      <c r="E691" s="38">
        <v>2.6</v>
      </c>
      <c r="F691" s="39">
        <v>0.30023238000000002</v>
      </c>
      <c r="G691" s="38">
        <v>0</v>
      </c>
      <c r="H691" s="38">
        <v>0</v>
      </c>
      <c r="I691" s="38">
        <v>0.36475004999999999</v>
      </c>
      <c r="J691" s="38">
        <v>6.1814329000000001E-2</v>
      </c>
      <c r="K691" s="38">
        <v>0.21426945999999999</v>
      </c>
      <c r="L691" s="40">
        <v>0.94106621899999998</v>
      </c>
    </row>
    <row r="692" spans="1:12" hidden="1">
      <c r="A692" s="41" t="s">
        <v>1495</v>
      </c>
      <c r="B692" s="41"/>
      <c r="C692" s="41" t="s">
        <v>842</v>
      </c>
      <c r="D692" s="65">
        <v>20022</v>
      </c>
      <c r="E692" s="42">
        <v>2.5499999999999998</v>
      </c>
      <c r="F692" s="43">
        <v>0.18997232999999999</v>
      </c>
      <c r="G692" s="42">
        <v>0</v>
      </c>
      <c r="H692" s="42">
        <v>0</v>
      </c>
      <c r="I692" s="42">
        <v>0.36475004999999999</v>
      </c>
      <c r="J692" s="42">
        <v>6.1814329000000001E-2</v>
      </c>
      <c r="K692" s="42">
        <v>0.21426945999999999</v>
      </c>
      <c r="L692" s="44">
        <v>0.83080616900000004</v>
      </c>
    </row>
    <row r="693" spans="1:12" hidden="1">
      <c r="A693" s="37" t="s">
        <v>1496</v>
      </c>
      <c r="B693" s="37"/>
      <c r="C693" s="37" t="s">
        <v>1183</v>
      </c>
      <c r="D693" s="64">
        <v>10059</v>
      </c>
      <c r="E693" s="38">
        <v>3.62</v>
      </c>
      <c r="F693" s="39">
        <v>19.566057000000001</v>
      </c>
      <c r="G693" s="38">
        <v>0</v>
      </c>
      <c r="H693" s="38">
        <v>0.61179726999999995</v>
      </c>
      <c r="I693" s="38">
        <v>1.1199623000000001</v>
      </c>
      <c r="J693" s="38">
        <v>8.3008606999999998E-2</v>
      </c>
      <c r="K693" s="38">
        <v>0.40765779000000002</v>
      </c>
      <c r="L693" s="40">
        <v>21.788482967</v>
      </c>
    </row>
    <row r="694" spans="1:12" hidden="1">
      <c r="A694" s="41" t="s">
        <v>1497</v>
      </c>
      <c r="B694" s="41"/>
      <c r="C694" s="41" t="s">
        <v>1183</v>
      </c>
      <c r="D694" s="65">
        <v>10021</v>
      </c>
      <c r="E694" s="42">
        <v>3.59</v>
      </c>
      <c r="F694" s="43">
        <v>19.566057000000001</v>
      </c>
      <c r="G694" s="42">
        <v>0</v>
      </c>
      <c r="H694" s="42">
        <v>0.61179726999999995</v>
      </c>
      <c r="I694" s="42">
        <v>1.1199623000000001</v>
      </c>
      <c r="J694" s="42">
        <v>8.3008606999999998E-2</v>
      </c>
      <c r="K694" s="42">
        <v>0.40765779000000002</v>
      </c>
      <c r="L694" s="44">
        <v>21.788482967</v>
      </c>
    </row>
    <row r="695" spans="1:12" hidden="1">
      <c r="A695" s="41" t="s">
        <v>1498</v>
      </c>
      <c r="B695" s="41"/>
      <c r="C695" s="41" t="s">
        <v>1181</v>
      </c>
      <c r="D695" s="65">
        <v>10007</v>
      </c>
      <c r="E695" s="42">
        <v>3.59</v>
      </c>
      <c r="F695" s="43">
        <v>23.860807000000001</v>
      </c>
      <c r="G695" s="42">
        <v>0</v>
      </c>
      <c r="H695" s="42">
        <v>0.70300589999999996</v>
      </c>
      <c r="I695" s="42">
        <v>1.3657216000000001</v>
      </c>
      <c r="J695" s="42">
        <v>0.101229</v>
      </c>
      <c r="K695" s="42">
        <v>0.40765779000000002</v>
      </c>
      <c r="L695" s="44">
        <v>26.438421290000001</v>
      </c>
    </row>
    <row r="696" spans="1:12" hidden="1">
      <c r="A696" s="41" t="s">
        <v>1499</v>
      </c>
      <c r="B696" s="41"/>
      <c r="C696" s="41" t="s">
        <v>1183</v>
      </c>
      <c r="D696" s="65">
        <v>10038</v>
      </c>
      <c r="E696" s="42">
        <v>3.62</v>
      </c>
      <c r="F696" s="43">
        <v>11.710285000000001</v>
      </c>
      <c r="G696" s="42">
        <v>0.52525982999999998</v>
      </c>
      <c r="H696" s="42">
        <v>0.37122103000000001</v>
      </c>
      <c r="I696" s="42">
        <v>0.60818744000000002</v>
      </c>
      <c r="J696" s="42">
        <v>6.6872780000000007E-2</v>
      </c>
      <c r="K696" s="42">
        <v>0.44894253000000001</v>
      </c>
      <c r="L696" s="44">
        <v>13.73076861</v>
      </c>
    </row>
    <row r="697" spans="1:12" hidden="1">
      <c r="A697" s="37" t="s">
        <v>1500</v>
      </c>
      <c r="B697" s="37"/>
      <c r="C697" s="37" t="s">
        <v>861</v>
      </c>
      <c r="D697" s="64">
        <v>7620</v>
      </c>
      <c r="E697" s="38">
        <v>2.13</v>
      </c>
      <c r="F697" s="39">
        <v>1.9944295999999999</v>
      </c>
      <c r="G697" s="38">
        <v>0.18765296000000001</v>
      </c>
      <c r="H697" s="38">
        <v>0.28784653999999998</v>
      </c>
      <c r="I697" s="38">
        <v>0.12601649000000001</v>
      </c>
      <c r="J697" s="38">
        <v>4.7861880000000002E-3</v>
      </c>
      <c r="K697" s="38">
        <v>0</v>
      </c>
      <c r="L697" s="40">
        <v>2.6007317780000001</v>
      </c>
    </row>
    <row r="698" spans="1:12" hidden="1">
      <c r="A698" s="37" t="s">
        <v>1501</v>
      </c>
      <c r="B698" s="37"/>
      <c r="C698" s="37" t="s">
        <v>903</v>
      </c>
      <c r="D698" s="64">
        <v>25418</v>
      </c>
      <c r="E698" s="38">
        <v>2.13</v>
      </c>
      <c r="F698" s="39">
        <v>2.9526384999999999</v>
      </c>
      <c r="G698" s="38">
        <v>0.40994715999999998</v>
      </c>
      <c r="H698" s="38">
        <v>0.40796461000000001</v>
      </c>
      <c r="I698" s="38">
        <v>0.21827283</v>
      </c>
      <c r="J698" s="38">
        <v>3.7768032999999999E-2</v>
      </c>
      <c r="K698" s="38">
        <v>9.2564276000000001E-2</v>
      </c>
      <c r="L698" s="40">
        <v>4.1191554090000002</v>
      </c>
    </row>
    <row r="699" spans="1:12" hidden="1">
      <c r="A699" s="37" t="s">
        <v>1502</v>
      </c>
      <c r="B699" s="37"/>
      <c r="C699" s="37" t="s">
        <v>903</v>
      </c>
      <c r="D699" s="64">
        <v>26266</v>
      </c>
      <c r="E699" s="38">
        <v>2.06</v>
      </c>
      <c r="F699" s="39">
        <v>2.9526384999999999</v>
      </c>
      <c r="G699" s="38">
        <v>0.40994715999999998</v>
      </c>
      <c r="H699" s="38">
        <v>0.40796461000000001</v>
      </c>
      <c r="I699" s="38">
        <v>0.21827283</v>
      </c>
      <c r="J699" s="38">
        <v>3.7768032999999999E-2</v>
      </c>
      <c r="K699" s="38">
        <v>9.2564276000000001E-2</v>
      </c>
      <c r="L699" s="40">
        <v>4.1191554090000002</v>
      </c>
    </row>
    <row r="700" spans="1:12" hidden="1">
      <c r="A700" s="37" t="s">
        <v>1503</v>
      </c>
      <c r="B700" s="37"/>
      <c r="C700" s="37" t="s">
        <v>861</v>
      </c>
      <c r="D700" s="64">
        <v>7650</v>
      </c>
      <c r="E700" s="38">
        <v>2.59</v>
      </c>
      <c r="F700" s="39">
        <v>1.5943809</v>
      </c>
      <c r="G700" s="38">
        <v>0.31465328999999997</v>
      </c>
      <c r="H700" s="38">
        <v>0.28781194999999998</v>
      </c>
      <c r="I700" s="38">
        <v>0.16675888</v>
      </c>
      <c r="J700" s="38">
        <v>4.7861880000000002E-3</v>
      </c>
      <c r="K700" s="38">
        <v>0</v>
      </c>
      <c r="L700" s="40">
        <v>2.3683912080000002</v>
      </c>
    </row>
    <row r="701" spans="1:12" hidden="1">
      <c r="A701" s="37" t="s">
        <v>1504</v>
      </c>
      <c r="B701" s="37"/>
      <c r="C701" s="37" t="s">
        <v>861</v>
      </c>
      <c r="D701" s="64">
        <v>7615</v>
      </c>
      <c r="E701" s="38">
        <v>2.5499999999999998</v>
      </c>
      <c r="F701" s="39">
        <v>0.73511623999999998</v>
      </c>
      <c r="G701" s="38">
        <v>0.4164233</v>
      </c>
      <c r="H701" s="38">
        <v>0.28787064000000001</v>
      </c>
      <c r="I701" s="38">
        <v>0.16154905999999999</v>
      </c>
      <c r="J701" s="38">
        <v>4.7861880000000002E-3</v>
      </c>
      <c r="K701" s="38">
        <v>0</v>
      </c>
      <c r="L701" s="40">
        <v>1.6057454279999999</v>
      </c>
    </row>
    <row r="702" spans="1:12" hidden="1">
      <c r="A702" s="37" t="s">
        <v>1505</v>
      </c>
      <c r="B702" s="37"/>
      <c r="C702" s="37" t="s">
        <v>861</v>
      </c>
      <c r="D702" s="64">
        <v>7602</v>
      </c>
      <c r="E702" s="38">
        <v>2.76</v>
      </c>
      <c r="F702" s="39">
        <v>0.73511623999999998</v>
      </c>
      <c r="G702" s="38">
        <v>0.4164233</v>
      </c>
      <c r="H702" s="38">
        <v>0.28787064000000001</v>
      </c>
      <c r="I702" s="38">
        <v>0.16154905999999999</v>
      </c>
      <c r="J702" s="38">
        <v>4.7861880000000002E-3</v>
      </c>
      <c r="K702" s="38">
        <v>0</v>
      </c>
      <c r="L702" s="40">
        <v>1.6057454279999999</v>
      </c>
    </row>
    <row r="703" spans="1:12" hidden="1">
      <c r="A703" s="41" t="s">
        <v>1506</v>
      </c>
      <c r="B703" s="41"/>
      <c r="C703" s="41" t="s">
        <v>674</v>
      </c>
      <c r="D703" s="65">
        <v>25542</v>
      </c>
      <c r="E703" s="42">
        <v>1.93</v>
      </c>
      <c r="F703" s="43">
        <v>3.2503397000000001</v>
      </c>
      <c r="G703" s="42">
        <v>0.33666101999999998</v>
      </c>
      <c r="H703" s="42">
        <v>0.37677171999999998</v>
      </c>
      <c r="I703" s="42">
        <v>0.20811341999999999</v>
      </c>
      <c r="J703" s="42">
        <v>3.7768032999999999E-2</v>
      </c>
      <c r="K703" s="42">
        <v>6.6736979E-3</v>
      </c>
      <c r="L703" s="44">
        <v>4.2163275908999998</v>
      </c>
    </row>
    <row r="704" spans="1:12" hidden="1">
      <c r="A704" s="41" t="s">
        <v>1507</v>
      </c>
      <c r="B704" s="41"/>
      <c r="C704" s="41" t="s">
        <v>674</v>
      </c>
      <c r="D704" s="65">
        <v>25400</v>
      </c>
      <c r="E704" s="42">
        <v>2.02</v>
      </c>
      <c r="F704" s="43">
        <v>3.3551087000000002</v>
      </c>
      <c r="G704" s="42">
        <v>0.35972340000000003</v>
      </c>
      <c r="H704" s="42">
        <v>0.38881799</v>
      </c>
      <c r="I704" s="42">
        <v>0.20674524999999999</v>
      </c>
      <c r="J704" s="42">
        <v>3.7768032999999999E-2</v>
      </c>
      <c r="K704" s="42">
        <v>6.6736979E-3</v>
      </c>
      <c r="L704" s="44">
        <v>4.3548370709000004</v>
      </c>
    </row>
    <row r="705" spans="1:12" hidden="1">
      <c r="A705" s="37" t="s">
        <v>1508</v>
      </c>
      <c r="B705" s="37"/>
      <c r="C705" s="37" t="s">
        <v>674</v>
      </c>
      <c r="D705" s="64">
        <v>25547</v>
      </c>
      <c r="E705" s="38">
        <v>1.75</v>
      </c>
      <c r="F705" s="39">
        <v>3.3551087000000002</v>
      </c>
      <c r="G705" s="38">
        <v>0.35972340000000003</v>
      </c>
      <c r="H705" s="38">
        <v>0.38881799</v>
      </c>
      <c r="I705" s="38">
        <v>0.20674524999999999</v>
      </c>
      <c r="J705" s="38">
        <v>3.7768032999999999E-2</v>
      </c>
      <c r="K705" s="38">
        <v>6.6736979E-3</v>
      </c>
      <c r="L705" s="40">
        <v>4.3548370709000004</v>
      </c>
    </row>
    <row r="706" spans="1:12" hidden="1">
      <c r="A706" s="37" t="s">
        <v>1509</v>
      </c>
      <c r="B706" s="37"/>
      <c r="C706" s="37" t="s">
        <v>842</v>
      </c>
      <c r="D706" s="64">
        <v>20231</v>
      </c>
      <c r="E706" s="38">
        <v>3.1</v>
      </c>
      <c r="F706" s="39">
        <v>7.2987668000000006E-2</v>
      </c>
      <c r="G706" s="38">
        <v>1.9074263000000001E-2</v>
      </c>
      <c r="H706" s="38">
        <v>0.26232822</v>
      </c>
      <c r="I706" s="38">
        <v>0.21372579999999999</v>
      </c>
      <c r="J706" s="38">
        <v>6.8654974999999993E-2</v>
      </c>
      <c r="K706" s="38">
        <v>2.5251829999999999E-2</v>
      </c>
      <c r="L706" s="40">
        <v>0.66202275599999993</v>
      </c>
    </row>
    <row r="707" spans="1:12" hidden="1">
      <c r="A707" s="37" t="s">
        <v>1510</v>
      </c>
      <c r="B707" s="37"/>
      <c r="C707" s="37" t="s">
        <v>640</v>
      </c>
      <c r="D707" s="64">
        <v>12834</v>
      </c>
      <c r="E707" s="38">
        <v>2.4500000000000002</v>
      </c>
      <c r="F707" s="39">
        <v>6.0103603999999997</v>
      </c>
      <c r="G707" s="38">
        <v>0.29382051999999997</v>
      </c>
      <c r="H707" s="38">
        <v>0.26233268999999998</v>
      </c>
      <c r="I707" s="38">
        <v>0.21100323000000001</v>
      </c>
      <c r="J707" s="38">
        <v>3.5969872999999999E-2</v>
      </c>
      <c r="K707" s="38">
        <v>6.6736979E-3</v>
      </c>
      <c r="L707" s="40">
        <v>6.8201604108999998</v>
      </c>
    </row>
    <row r="708" spans="1:12" hidden="1">
      <c r="A708" s="37" t="s">
        <v>1511</v>
      </c>
      <c r="B708" s="37"/>
      <c r="C708" s="37" t="s">
        <v>640</v>
      </c>
      <c r="D708" s="64">
        <v>12832</v>
      </c>
      <c r="E708" s="38">
        <v>2.4500000000000002</v>
      </c>
      <c r="F708" s="39">
        <v>7.0365194999999998</v>
      </c>
      <c r="G708" s="38">
        <v>0.29382051999999997</v>
      </c>
      <c r="H708" s="38">
        <v>0.26233268999999998</v>
      </c>
      <c r="I708" s="38">
        <v>0.21100323000000001</v>
      </c>
      <c r="J708" s="38">
        <v>3.5969872999999999E-2</v>
      </c>
      <c r="K708" s="38">
        <v>6.6736979E-3</v>
      </c>
      <c r="L708" s="40">
        <v>7.8463195108999999</v>
      </c>
    </row>
    <row r="709" spans="1:12" hidden="1">
      <c r="A709" s="37" t="s">
        <v>1512</v>
      </c>
      <c r="B709" s="37"/>
      <c r="C709" s="37" t="s">
        <v>640</v>
      </c>
      <c r="D709" s="64">
        <v>12833</v>
      </c>
      <c r="E709" s="38">
        <v>2.4500000000000002</v>
      </c>
      <c r="F709" s="39">
        <v>7.0365194999999998</v>
      </c>
      <c r="G709" s="38">
        <v>0.29382051999999997</v>
      </c>
      <c r="H709" s="38">
        <v>0.26233268999999998</v>
      </c>
      <c r="I709" s="38">
        <v>0.21100323000000001</v>
      </c>
      <c r="J709" s="38">
        <v>3.5969872999999999E-2</v>
      </c>
      <c r="K709" s="38">
        <v>6.6736979E-3</v>
      </c>
      <c r="L709" s="40">
        <v>7.8463195108999999</v>
      </c>
    </row>
    <row r="710" spans="1:12" hidden="1">
      <c r="A710" s="37" t="s">
        <v>1513</v>
      </c>
      <c r="B710" s="37"/>
      <c r="C710" s="37" t="s">
        <v>861</v>
      </c>
      <c r="D710" s="64">
        <v>38500</v>
      </c>
      <c r="E710" s="38">
        <v>3.1</v>
      </c>
      <c r="F710" s="39">
        <v>0.455183</v>
      </c>
      <c r="G710" s="38">
        <v>0.21279923000000001</v>
      </c>
      <c r="H710" s="38">
        <v>0.10981914</v>
      </c>
      <c r="I710" s="38">
        <v>0.21178605</v>
      </c>
      <c r="J710" s="38">
        <v>4.7861880000000002E-3</v>
      </c>
      <c r="K710" s="38">
        <v>0</v>
      </c>
      <c r="L710" s="40">
        <v>0.99437360800000008</v>
      </c>
    </row>
    <row r="711" spans="1:12" hidden="1">
      <c r="A711" s="37" t="s">
        <v>1514</v>
      </c>
      <c r="B711" s="37"/>
      <c r="C711" s="37" t="s">
        <v>861</v>
      </c>
      <c r="D711" s="64">
        <v>7430</v>
      </c>
      <c r="E711" s="38">
        <v>2.66</v>
      </c>
      <c r="F711" s="39">
        <v>0.455183</v>
      </c>
      <c r="G711" s="38">
        <v>0.21279923000000001</v>
      </c>
      <c r="H711" s="38">
        <v>0.10981914</v>
      </c>
      <c r="I711" s="38">
        <v>0.21178605</v>
      </c>
      <c r="J711" s="38">
        <v>4.7861880000000002E-3</v>
      </c>
      <c r="K711" s="38">
        <v>0</v>
      </c>
      <c r="L711" s="40">
        <v>0.99437360800000008</v>
      </c>
    </row>
    <row r="712" spans="1:12" hidden="1">
      <c r="A712" s="37" t="s">
        <v>1515</v>
      </c>
      <c r="B712" s="37"/>
      <c r="C712" s="37" t="s">
        <v>861</v>
      </c>
      <c r="D712" s="64">
        <v>7432</v>
      </c>
      <c r="E712" s="38">
        <v>2.66</v>
      </c>
      <c r="F712" s="39">
        <v>0.455183</v>
      </c>
      <c r="G712" s="38">
        <v>0.21279923000000001</v>
      </c>
      <c r="H712" s="38">
        <v>0.10981914</v>
      </c>
      <c r="I712" s="38">
        <v>0.21178605</v>
      </c>
      <c r="J712" s="38">
        <v>4.7861880000000002E-3</v>
      </c>
      <c r="K712" s="38">
        <v>0</v>
      </c>
      <c r="L712" s="40">
        <v>0.99437360800000008</v>
      </c>
    </row>
    <row r="713" spans="1:12" hidden="1">
      <c r="A713" s="37" t="s">
        <v>1516</v>
      </c>
      <c r="B713" s="37"/>
      <c r="C713" s="37" t="s">
        <v>668</v>
      </c>
      <c r="D713" s="64">
        <v>23493</v>
      </c>
      <c r="E713" s="38">
        <v>2.13</v>
      </c>
      <c r="F713" s="39">
        <v>1.2287265999999999</v>
      </c>
      <c r="G713" s="38">
        <v>0.21079809999999999</v>
      </c>
      <c r="H713" s="38">
        <v>0.28780797000000002</v>
      </c>
      <c r="I713" s="38">
        <v>0.13826988000000001</v>
      </c>
      <c r="J713" s="38">
        <v>1.9437894000000001E-2</v>
      </c>
      <c r="K713" s="38">
        <v>0</v>
      </c>
      <c r="L713" s="40">
        <v>1.8850404439999997</v>
      </c>
    </row>
    <row r="714" spans="1:12" hidden="1">
      <c r="A714" s="37" t="s">
        <v>1517</v>
      </c>
      <c r="B714" s="37"/>
      <c r="C714" s="37" t="s">
        <v>637</v>
      </c>
      <c r="D714" s="64">
        <v>15028</v>
      </c>
      <c r="E714" s="38">
        <v>4.87</v>
      </c>
      <c r="F714" s="39">
        <v>2.3413279999999999</v>
      </c>
      <c r="G714" s="38">
        <v>0</v>
      </c>
      <c r="H714" s="38">
        <v>0.53013177</v>
      </c>
      <c r="I714" s="38">
        <v>0.26225738999999998</v>
      </c>
      <c r="J714" s="38">
        <v>4.5312862000000002E-2</v>
      </c>
      <c r="K714" s="38">
        <v>0.32140418999999998</v>
      </c>
      <c r="L714" s="40">
        <v>3.5004342119999996</v>
      </c>
    </row>
    <row r="715" spans="1:12" hidden="1">
      <c r="A715" s="37" t="s">
        <v>1518</v>
      </c>
      <c r="B715" s="37"/>
      <c r="C715" s="37" t="s">
        <v>1199</v>
      </c>
      <c r="D715" s="64">
        <v>11042</v>
      </c>
      <c r="E715" s="38">
        <v>3.75</v>
      </c>
      <c r="F715" s="39">
        <v>6.8743721000000004</v>
      </c>
      <c r="G715" s="38">
        <v>0.44480792000000002</v>
      </c>
      <c r="H715" s="38">
        <v>0.47782284000000003</v>
      </c>
      <c r="I715" s="38">
        <v>0.33418850999999999</v>
      </c>
      <c r="J715" s="38">
        <v>1.5675970000000001E-2</v>
      </c>
      <c r="K715" s="38">
        <v>0</v>
      </c>
      <c r="L715" s="40">
        <v>8.14686734</v>
      </c>
    </row>
    <row r="716" spans="1:12" hidden="1">
      <c r="A716" s="41" t="s">
        <v>1519</v>
      </c>
      <c r="B716" s="41"/>
      <c r="C716" s="41" t="s">
        <v>1199</v>
      </c>
      <c r="D716" s="65">
        <v>11089</v>
      </c>
      <c r="E716" s="42">
        <v>4.3099999999999996</v>
      </c>
      <c r="F716" s="43">
        <v>6.8743721000000004</v>
      </c>
      <c r="G716" s="42">
        <v>0.44480792000000002</v>
      </c>
      <c r="H716" s="42">
        <v>0.47782284000000003</v>
      </c>
      <c r="I716" s="42">
        <v>0.33418850999999999</v>
      </c>
      <c r="J716" s="42">
        <v>1.5675970000000001E-2</v>
      </c>
      <c r="K716" s="42">
        <v>0</v>
      </c>
      <c r="L716" s="44">
        <v>8.14686734</v>
      </c>
    </row>
    <row r="717" spans="1:12" hidden="1">
      <c r="A717" s="37" t="s">
        <v>1520</v>
      </c>
      <c r="B717" s="37"/>
      <c r="C717" s="37" t="s">
        <v>1199</v>
      </c>
      <c r="D717" s="64">
        <v>11005</v>
      </c>
      <c r="E717" s="38">
        <v>4.1100000000000003</v>
      </c>
      <c r="F717" s="39">
        <v>6.8743721000000004</v>
      </c>
      <c r="G717" s="38">
        <v>0.44480792000000002</v>
      </c>
      <c r="H717" s="38">
        <v>0.47782284000000003</v>
      </c>
      <c r="I717" s="38">
        <v>0.33418850999999999</v>
      </c>
      <c r="J717" s="38">
        <v>1.5675970000000001E-2</v>
      </c>
      <c r="K717" s="38">
        <v>0</v>
      </c>
      <c r="L717" s="40">
        <v>8.14686734</v>
      </c>
    </row>
    <row r="718" spans="1:12" hidden="1">
      <c r="A718" s="37" t="s">
        <v>1521</v>
      </c>
      <c r="B718" s="37"/>
      <c r="C718" s="37" t="s">
        <v>634</v>
      </c>
      <c r="D718" s="64">
        <v>13011</v>
      </c>
      <c r="E718" s="38">
        <v>2.96</v>
      </c>
      <c r="F718" s="39">
        <v>2.2964658999999998</v>
      </c>
      <c r="G718" s="38">
        <v>0</v>
      </c>
      <c r="H718" s="38">
        <v>0.28118162000000002</v>
      </c>
      <c r="I718" s="38">
        <v>0.16236686</v>
      </c>
      <c r="J718" s="38">
        <v>2.0096607999999998E-2</v>
      </c>
      <c r="K718" s="38">
        <v>0</v>
      </c>
      <c r="L718" s="40">
        <v>2.7601109879999997</v>
      </c>
    </row>
    <row r="719" spans="1:12" hidden="1">
      <c r="A719" s="37" t="s">
        <v>1522</v>
      </c>
      <c r="B719" s="37"/>
      <c r="C719" s="37" t="s">
        <v>826</v>
      </c>
      <c r="D719" s="64">
        <v>26103</v>
      </c>
      <c r="E719" s="38">
        <v>3.64</v>
      </c>
      <c r="F719" s="39">
        <v>9.3213296000000003</v>
      </c>
      <c r="G719" s="38">
        <v>0</v>
      </c>
      <c r="H719" s="38">
        <v>0.27530876999999998</v>
      </c>
      <c r="I719" s="38">
        <v>1.1705296999999999</v>
      </c>
      <c r="J719" s="38">
        <v>3.7353873000000003E-2</v>
      </c>
      <c r="K719" s="38">
        <v>6.6736979E-3</v>
      </c>
      <c r="L719" s="40">
        <v>10.811195640900001</v>
      </c>
    </row>
    <row r="720" spans="1:12" hidden="1">
      <c r="A720" s="37" t="s">
        <v>1523</v>
      </c>
      <c r="B720" s="37"/>
      <c r="C720" s="37" t="s">
        <v>631</v>
      </c>
      <c r="D720" s="64">
        <v>28922</v>
      </c>
      <c r="E720" s="38">
        <v>2.4500000000000002</v>
      </c>
      <c r="F720" s="39">
        <v>5.7164647999999998</v>
      </c>
      <c r="G720" s="38">
        <v>0.48092800000000002</v>
      </c>
      <c r="H720" s="38">
        <v>0.47814709</v>
      </c>
      <c r="I720" s="38">
        <v>0.20501591</v>
      </c>
      <c r="J720" s="38">
        <v>3.7353873000000003E-2</v>
      </c>
      <c r="K720" s="38">
        <v>6.6736979E-3</v>
      </c>
      <c r="L720" s="40">
        <v>6.9245833708999998</v>
      </c>
    </row>
    <row r="721" spans="1:12" hidden="1">
      <c r="A721" s="41" t="s">
        <v>1524</v>
      </c>
      <c r="B721" s="41"/>
      <c r="C721" s="41" t="s">
        <v>631</v>
      </c>
      <c r="D721" s="65">
        <v>28929</v>
      </c>
      <c r="E721" s="42">
        <v>3.11</v>
      </c>
      <c r="F721" s="43">
        <v>5.1759893000000003</v>
      </c>
      <c r="G721" s="42">
        <v>1.0781514000000001</v>
      </c>
      <c r="H721" s="42">
        <v>0.27530876999999998</v>
      </c>
      <c r="I721" s="42">
        <v>0.24341649000000001</v>
      </c>
      <c r="J721" s="42">
        <v>3.7353873000000003E-2</v>
      </c>
      <c r="K721" s="42">
        <v>6.6736979E-3</v>
      </c>
      <c r="L721" s="44">
        <v>6.8168935309000007</v>
      </c>
    </row>
    <row r="722" spans="1:12" hidden="1">
      <c r="A722" s="41" t="s">
        <v>1525</v>
      </c>
      <c r="B722" s="41"/>
      <c r="C722" s="41" t="s">
        <v>1085</v>
      </c>
      <c r="D722" s="65">
        <v>20911</v>
      </c>
      <c r="E722" s="42">
        <v>3.56</v>
      </c>
      <c r="F722" s="43">
        <v>0.16277726000000001</v>
      </c>
      <c r="G722" s="42">
        <v>0.24333112000000001</v>
      </c>
      <c r="H722" s="42">
        <v>0.18549789</v>
      </c>
      <c r="I722" s="42">
        <v>0.23056347999999999</v>
      </c>
      <c r="J722" s="42">
        <v>3.7768032999999999E-2</v>
      </c>
      <c r="K722" s="42">
        <v>6.6736979E-3</v>
      </c>
      <c r="L722" s="44">
        <v>0.86661148090000006</v>
      </c>
    </row>
    <row r="723" spans="1:12" hidden="1">
      <c r="A723" s="41" t="s">
        <v>1526</v>
      </c>
      <c r="B723" s="41"/>
      <c r="C723" s="41" t="s">
        <v>1085</v>
      </c>
      <c r="D723" s="65">
        <v>19692</v>
      </c>
      <c r="E723" s="42">
        <v>3.12</v>
      </c>
      <c r="F723" s="43">
        <v>0.16277726000000001</v>
      </c>
      <c r="G723" s="42">
        <v>0.24333112000000001</v>
      </c>
      <c r="H723" s="42">
        <v>0.18549789</v>
      </c>
      <c r="I723" s="42">
        <v>0.23056347999999999</v>
      </c>
      <c r="J723" s="42">
        <v>3.7768032999999999E-2</v>
      </c>
      <c r="K723" s="42">
        <v>6.6736979E-3</v>
      </c>
      <c r="L723" s="44">
        <v>0.86661148090000006</v>
      </c>
    </row>
    <row r="724" spans="1:12" hidden="1">
      <c r="A724" s="41" t="s">
        <v>1527</v>
      </c>
      <c r="B724" s="41"/>
      <c r="C724" s="41" t="s">
        <v>1085</v>
      </c>
      <c r="D724" s="65">
        <v>19693</v>
      </c>
      <c r="E724" s="42">
        <v>2.96</v>
      </c>
      <c r="F724" s="43">
        <v>0.14153435</v>
      </c>
      <c r="G724" s="42">
        <v>0.25458257000000001</v>
      </c>
      <c r="H724" s="42">
        <v>0.18549789</v>
      </c>
      <c r="I724" s="42">
        <v>0.20855248000000001</v>
      </c>
      <c r="J724" s="42">
        <v>3.7768032999999999E-2</v>
      </c>
      <c r="K724" s="42">
        <v>6.6736979E-3</v>
      </c>
      <c r="L724" s="44">
        <v>0.83460902090000011</v>
      </c>
    </row>
    <row r="725" spans="1:12" hidden="1">
      <c r="A725" s="37" t="s">
        <v>1528</v>
      </c>
      <c r="B725" s="37"/>
      <c r="C725" s="37" t="s">
        <v>634</v>
      </c>
      <c r="D725" s="64">
        <v>13152</v>
      </c>
      <c r="E725" s="38">
        <v>2.99</v>
      </c>
      <c r="F725" s="39">
        <v>0.16277726000000001</v>
      </c>
      <c r="G725" s="38">
        <v>0.24333112000000001</v>
      </c>
      <c r="H725" s="38">
        <v>0.27727707000000001</v>
      </c>
      <c r="I725" s="38">
        <v>0.23056347999999999</v>
      </c>
      <c r="J725" s="38">
        <v>3.7768032999999999E-2</v>
      </c>
      <c r="K725" s="38">
        <v>6.6736979E-3</v>
      </c>
      <c r="L725" s="40">
        <v>0.95839066090000014</v>
      </c>
    </row>
    <row r="726" spans="1:12" hidden="1">
      <c r="A726" s="37" t="s">
        <v>1529</v>
      </c>
      <c r="B726" s="37"/>
      <c r="C726" s="37" t="s">
        <v>1151</v>
      </c>
      <c r="D726" s="64">
        <v>39516</v>
      </c>
      <c r="E726" s="38">
        <v>3.45</v>
      </c>
      <c r="F726" s="39">
        <v>1.0539407999999999</v>
      </c>
      <c r="G726" s="38">
        <v>0.21512698</v>
      </c>
      <c r="H726" s="38">
        <v>0.18042667000000001</v>
      </c>
      <c r="I726" s="38">
        <v>0.19674195</v>
      </c>
      <c r="J726" s="38">
        <v>6.5229756E-2</v>
      </c>
      <c r="K726" s="38">
        <v>2.5251829999999999E-2</v>
      </c>
      <c r="L726" s="40">
        <v>1.7367179859999999</v>
      </c>
    </row>
    <row r="727" spans="1:12" hidden="1">
      <c r="A727" s="37" t="s">
        <v>1530</v>
      </c>
      <c r="B727" s="37"/>
      <c r="C727" s="37" t="s">
        <v>1151</v>
      </c>
      <c r="D727" s="64">
        <v>39502</v>
      </c>
      <c r="E727" s="38">
        <v>3.45</v>
      </c>
      <c r="F727" s="39">
        <v>1.0539407999999999</v>
      </c>
      <c r="G727" s="38">
        <v>0.21512698</v>
      </c>
      <c r="H727" s="38">
        <v>0.18042667000000001</v>
      </c>
      <c r="I727" s="38">
        <v>0.19674195</v>
      </c>
      <c r="J727" s="38">
        <v>6.5229756E-2</v>
      </c>
      <c r="K727" s="38">
        <v>2.5251829999999999E-2</v>
      </c>
      <c r="L727" s="40">
        <v>1.7367179859999999</v>
      </c>
    </row>
    <row r="728" spans="1:12" hidden="1">
      <c r="A728" s="37" t="s">
        <v>1531</v>
      </c>
      <c r="B728" s="37"/>
      <c r="C728" s="37" t="s">
        <v>1151</v>
      </c>
      <c r="D728" s="64">
        <v>39512</v>
      </c>
      <c r="E728" s="38">
        <v>3.45</v>
      </c>
      <c r="F728" s="39">
        <v>1.0539407999999999</v>
      </c>
      <c r="G728" s="38">
        <v>0.21512698</v>
      </c>
      <c r="H728" s="38">
        <v>0.18042667000000001</v>
      </c>
      <c r="I728" s="38">
        <v>0.19674195</v>
      </c>
      <c r="J728" s="38">
        <v>6.5229756E-2</v>
      </c>
      <c r="K728" s="38">
        <v>2.5251829999999999E-2</v>
      </c>
      <c r="L728" s="40">
        <v>1.7367179859999999</v>
      </c>
    </row>
    <row r="729" spans="1:12" hidden="1">
      <c r="A729" s="37" t="s">
        <v>1532</v>
      </c>
      <c r="B729" s="37"/>
      <c r="C729" s="37" t="s">
        <v>1533</v>
      </c>
      <c r="D729" s="64">
        <v>13165</v>
      </c>
      <c r="E729" s="38">
        <v>2.9</v>
      </c>
      <c r="F729" s="39">
        <v>1.0169134</v>
      </c>
      <c r="G729" s="38">
        <v>0.20411294999999999</v>
      </c>
      <c r="H729" s="38">
        <v>0.19186254</v>
      </c>
      <c r="I729" s="38">
        <v>0.12667007</v>
      </c>
      <c r="J729" s="38">
        <v>1.9437894000000001E-2</v>
      </c>
      <c r="K729" s="38">
        <v>0</v>
      </c>
      <c r="L729" s="40">
        <v>1.5589968540000001</v>
      </c>
    </row>
    <row r="730" spans="1:12" hidden="1">
      <c r="A730" s="37" t="s">
        <v>1534</v>
      </c>
      <c r="B730" s="37"/>
      <c r="C730" s="37" t="s">
        <v>1533</v>
      </c>
      <c r="D730" s="64">
        <v>13166</v>
      </c>
      <c r="E730" s="38">
        <v>2.9</v>
      </c>
      <c r="F730" s="39">
        <v>1.0169134</v>
      </c>
      <c r="G730" s="38">
        <v>0.20411294999999999</v>
      </c>
      <c r="H730" s="38">
        <v>0.19186254</v>
      </c>
      <c r="I730" s="38">
        <v>0.12667007</v>
      </c>
      <c r="J730" s="38">
        <v>1.9437894000000001E-2</v>
      </c>
      <c r="K730" s="38">
        <v>0</v>
      </c>
      <c r="L730" s="40">
        <v>1.5589968540000001</v>
      </c>
    </row>
    <row r="731" spans="1:12" hidden="1">
      <c r="A731" s="37" t="s">
        <v>1535</v>
      </c>
      <c r="B731" s="37"/>
      <c r="C731" s="37" t="s">
        <v>1533</v>
      </c>
      <c r="D731" s="64">
        <v>13164</v>
      </c>
      <c r="E731" s="38">
        <v>2.54</v>
      </c>
      <c r="F731" s="39">
        <v>1.0169134</v>
      </c>
      <c r="G731" s="38">
        <v>0.20411294999999999</v>
      </c>
      <c r="H731" s="38">
        <v>0.19186254</v>
      </c>
      <c r="I731" s="38">
        <v>0.12667007</v>
      </c>
      <c r="J731" s="38">
        <v>1.9437894000000001E-2</v>
      </c>
      <c r="K731" s="38">
        <v>0</v>
      </c>
      <c r="L731" s="40">
        <v>1.5589968540000001</v>
      </c>
    </row>
    <row r="732" spans="1:12" hidden="1">
      <c r="A732" s="37" t="s">
        <v>1536</v>
      </c>
      <c r="B732" s="37"/>
      <c r="C732" s="37" t="s">
        <v>650</v>
      </c>
      <c r="D732" s="64">
        <v>18039</v>
      </c>
      <c r="E732" s="38">
        <v>2.31</v>
      </c>
      <c r="F732" s="39">
        <v>9.2461114999999996E-2</v>
      </c>
      <c r="G732" s="38">
        <v>4.6545998999999998E-2</v>
      </c>
      <c r="H732" s="38">
        <v>0.17741768999999999</v>
      </c>
      <c r="I732" s="38">
        <v>0.20047925</v>
      </c>
      <c r="J732" s="38">
        <v>3.5836186999999999E-2</v>
      </c>
      <c r="K732" s="38">
        <v>6.6736979E-3</v>
      </c>
      <c r="L732" s="40">
        <v>0.55941393890000002</v>
      </c>
    </row>
    <row r="733" spans="1:12" hidden="1">
      <c r="A733" s="41" t="s">
        <v>1537</v>
      </c>
      <c r="B733" s="41"/>
      <c r="C733" s="41" t="s">
        <v>788</v>
      </c>
      <c r="D733" s="65">
        <v>36310</v>
      </c>
      <c r="E733" s="42">
        <v>3.11</v>
      </c>
      <c r="F733" s="43">
        <v>5.1759893000000003</v>
      </c>
      <c r="G733" s="42">
        <v>1.028726</v>
      </c>
      <c r="H733" s="42">
        <v>0.34413596000000002</v>
      </c>
      <c r="I733" s="42">
        <v>0.29060693999999998</v>
      </c>
      <c r="J733" s="42">
        <v>4.6692341999999998E-2</v>
      </c>
      <c r="K733" s="42">
        <v>8.8693171000000001E-2</v>
      </c>
      <c r="L733" s="44">
        <v>6.9748437130000003</v>
      </c>
    </row>
    <row r="734" spans="1:12" hidden="1">
      <c r="A734" s="41" t="s">
        <v>1538</v>
      </c>
      <c r="B734" s="41"/>
      <c r="C734" s="41" t="s">
        <v>788</v>
      </c>
      <c r="D734" s="65">
        <v>36305</v>
      </c>
      <c r="E734" s="42">
        <v>3.11</v>
      </c>
      <c r="F734" s="43">
        <v>5.1759893000000003</v>
      </c>
      <c r="G734" s="42">
        <v>1.028726</v>
      </c>
      <c r="H734" s="42">
        <v>0.34413596000000002</v>
      </c>
      <c r="I734" s="42">
        <v>0.29060693999999998</v>
      </c>
      <c r="J734" s="42">
        <v>4.6692341999999998E-2</v>
      </c>
      <c r="K734" s="42">
        <v>8.8693171000000001E-2</v>
      </c>
      <c r="L734" s="44">
        <v>6.9748437130000003</v>
      </c>
    </row>
    <row r="735" spans="1:12" hidden="1">
      <c r="A735" s="41" t="s">
        <v>1539</v>
      </c>
      <c r="B735" s="41"/>
      <c r="C735" s="41" t="s">
        <v>788</v>
      </c>
      <c r="D735" s="65">
        <v>36307</v>
      </c>
      <c r="E735" s="42">
        <v>3.11</v>
      </c>
      <c r="F735" s="43">
        <v>5.1759893000000003</v>
      </c>
      <c r="G735" s="42">
        <v>1.028726</v>
      </c>
      <c r="H735" s="42">
        <v>0.32205579000000001</v>
      </c>
      <c r="I735" s="42">
        <v>0.29056982999999997</v>
      </c>
      <c r="J735" s="42">
        <v>4.6692341999999998E-2</v>
      </c>
      <c r="K735" s="42">
        <v>8.7024747E-2</v>
      </c>
      <c r="L735" s="44">
        <v>6.9510580090000005</v>
      </c>
    </row>
    <row r="736" spans="1:12" hidden="1">
      <c r="A736" s="37" t="s">
        <v>1540</v>
      </c>
      <c r="B736" s="37"/>
      <c r="C736" s="37" t="s">
        <v>1005</v>
      </c>
      <c r="D736" s="64">
        <v>36318</v>
      </c>
      <c r="E736" s="38">
        <v>2.52</v>
      </c>
      <c r="F736" s="39">
        <v>4.5869517000000002</v>
      </c>
      <c r="G736" s="38">
        <v>0.98401665000000005</v>
      </c>
      <c r="H736" s="38">
        <v>0.27729851</v>
      </c>
      <c r="I736" s="38">
        <v>0.28010618999999998</v>
      </c>
      <c r="J736" s="38">
        <v>3.7768032999999999E-2</v>
      </c>
      <c r="K736" s="38">
        <v>9.2564276000000001E-2</v>
      </c>
      <c r="L736" s="40">
        <v>6.2587053589999995</v>
      </c>
    </row>
    <row r="737" spans="1:12" hidden="1">
      <c r="A737" s="41" t="s">
        <v>1541</v>
      </c>
      <c r="B737" s="41"/>
      <c r="C737" s="41" t="s">
        <v>788</v>
      </c>
      <c r="D737" s="65">
        <v>36304</v>
      </c>
      <c r="E737" s="42">
        <v>3.11</v>
      </c>
      <c r="F737" s="43">
        <v>5.1759893000000003</v>
      </c>
      <c r="G737" s="42">
        <v>1.0781514000000001</v>
      </c>
      <c r="H737" s="42">
        <v>0.27530876999999998</v>
      </c>
      <c r="I737" s="42">
        <v>0.24341649000000001</v>
      </c>
      <c r="J737" s="42">
        <v>3.7353873000000003E-2</v>
      </c>
      <c r="K737" s="42">
        <v>6.6736979E-3</v>
      </c>
      <c r="L737" s="44">
        <v>6.8168935309000007</v>
      </c>
    </row>
    <row r="738" spans="1:12" hidden="1">
      <c r="A738" s="41" t="s">
        <v>1542</v>
      </c>
      <c r="B738" s="41"/>
      <c r="C738" s="41" t="s">
        <v>786</v>
      </c>
      <c r="D738" s="65">
        <v>36308</v>
      </c>
      <c r="E738" s="42">
        <v>3.11</v>
      </c>
      <c r="F738" s="43">
        <v>6.8523363000000002</v>
      </c>
      <c r="G738" s="42">
        <v>1.4273321999999999</v>
      </c>
      <c r="H738" s="42">
        <v>0.36447298</v>
      </c>
      <c r="I738" s="42">
        <v>0.32225175</v>
      </c>
      <c r="J738" s="42">
        <v>4.9451666999999998E-2</v>
      </c>
      <c r="K738" s="42">
        <v>9.4725686000000003E-2</v>
      </c>
      <c r="L738" s="44">
        <v>9.1105705829999994</v>
      </c>
    </row>
    <row r="739" spans="1:12" hidden="1">
      <c r="A739" s="41" t="s">
        <v>1543</v>
      </c>
      <c r="B739" s="41"/>
      <c r="C739" s="41" t="s">
        <v>786</v>
      </c>
      <c r="D739" s="65">
        <v>36306</v>
      </c>
      <c r="E739" s="42">
        <v>3.11</v>
      </c>
      <c r="F739" s="43">
        <v>6.8650912999999996</v>
      </c>
      <c r="G739" s="42">
        <v>1.4286994</v>
      </c>
      <c r="H739" s="42">
        <v>0.36463224</v>
      </c>
      <c r="I739" s="42">
        <v>0.32305353999999997</v>
      </c>
      <c r="J739" s="42">
        <v>4.9451666999999998E-2</v>
      </c>
      <c r="K739" s="42">
        <v>0.12525412</v>
      </c>
      <c r="L739" s="44">
        <v>9.1561822669999984</v>
      </c>
    </row>
    <row r="740" spans="1:12" hidden="1">
      <c r="A740" s="41" t="s">
        <v>1544</v>
      </c>
      <c r="B740" s="41"/>
      <c r="C740" s="41" t="s">
        <v>788</v>
      </c>
      <c r="D740" s="65">
        <v>36300</v>
      </c>
      <c r="E740" s="42">
        <v>3.11</v>
      </c>
      <c r="F740" s="43">
        <v>4.1407914999999997</v>
      </c>
      <c r="G740" s="42">
        <v>0.82298077999999997</v>
      </c>
      <c r="H740" s="42">
        <v>0.27530876999999998</v>
      </c>
      <c r="I740" s="42">
        <v>0.23248555000000001</v>
      </c>
      <c r="J740" s="42">
        <v>3.7353873000000003E-2</v>
      </c>
      <c r="K740" s="42">
        <v>6.6736979E-3</v>
      </c>
      <c r="L740" s="44">
        <v>5.5155941708999991</v>
      </c>
    </row>
    <row r="741" spans="1:12" hidden="1">
      <c r="A741" s="41" t="s">
        <v>1545</v>
      </c>
      <c r="B741" s="41"/>
      <c r="C741" s="41" t="s">
        <v>788</v>
      </c>
      <c r="D741" s="65">
        <v>36301</v>
      </c>
      <c r="E741" s="42">
        <v>3.11</v>
      </c>
      <c r="F741" s="43">
        <v>4.1407914999999997</v>
      </c>
      <c r="G741" s="42">
        <v>0.82298077999999997</v>
      </c>
      <c r="H741" s="42">
        <v>0.27530876999999998</v>
      </c>
      <c r="I741" s="42">
        <v>0.23248555000000001</v>
      </c>
      <c r="J741" s="42">
        <v>3.7353873000000003E-2</v>
      </c>
      <c r="K741" s="42">
        <v>6.6736979E-3</v>
      </c>
      <c r="L741" s="44">
        <v>5.5155941708999991</v>
      </c>
    </row>
    <row r="742" spans="1:12" hidden="1">
      <c r="A742" s="41" t="s">
        <v>1546</v>
      </c>
      <c r="B742" s="41"/>
      <c r="C742" s="41" t="s">
        <v>786</v>
      </c>
      <c r="D742" s="65">
        <v>36302</v>
      </c>
      <c r="E742" s="42">
        <v>3.11</v>
      </c>
      <c r="F742" s="43">
        <v>5.4818689999999997</v>
      </c>
      <c r="G742" s="42">
        <v>1.0895195</v>
      </c>
      <c r="H742" s="42">
        <v>0.36447298</v>
      </c>
      <c r="I742" s="42">
        <v>0.30778062</v>
      </c>
      <c r="J742" s="42">
        <v>4.9451666999999998E-2</v>
      </c>
      <c r="K742" s="42">
        <v>9.4725686000000003E-2</v>
      </c>
      <c r="L742" s="44">
        <v>7.3878194529999996</v>
      </c>
    </row>
    <row r="743" spans="1:12" hidden="1">
      <c r="A743" s="37" t="s">
        <v>1547</v>
      </c>
      <c r="B743" s="37"/>
      <c r="C743" s="37" t="s">
        <v>631</v>
      </c>
      <c r="D743" s="64">
        <v>30177</v>
      </c>
      <c r="E743" s="38">
        <v>2.4700000000000002</v>
      </c>
      <c r="F743" s="39">
        <v>4.2356286000000001</v>
      </c>
      <c r="G743" s="38">
        <v>0.25164847000000001</v>
      </c>
      <c r="H743" s="38">
        <v>0.23047935999999999</v>
      </c>
      <c r="I743" s="38">
        <v>0.20081692000000001</v>
      </c>
      <c r="J743" s="38">
        <v>3.7353873000000003E-2</v>
      </c>
      <c r="K743" s="38">
        <v>6.6736979E-3</v>
      </c>
      <c r="L743" s="40">
        <v>4.9626009209000008</v>
      </c>
    </row>
    <row r="744" spans="1:12" hidden="1">
      <c r="A744" s="37" t="s">
        <v>1548</v>
      </c>
      <c r="B744" s="37"/>
      <c r="C744" s="37" t="s">
        <v>826</v>
      </c>
      <c r="D744" s="64">
        <v>26099</v>
      </c>
      <c r="E744" s="38">
        <v>3.64</v>
      </c>
      <c r="F744" s="39">
        <v>5.3474227000000001</v>
      </c>
      <c r="G744" s="38">
        <v>0</v>
      </c>
      <c r="H744" s="38">
        <v>0.27530876999999998</v>
      </c>
      <c r="I744" s="38">
        <v>1.0455774</v>
      </c>
      <c r="J744" s="38">
        <v>3.7353873000000003E-2</v>
      </c>
      <c r="K744" s="38">
        <v>6.6736979E-3</v>
      </c>
      <c r="L744" s="40">
        <v>6.7123364408999997</v>
      </c>
    </row>
    <row r="745" spans="1:12" hidden="1">
      <c r="A745" s="37" t="s">
        <v>1549</v>
      </c>
      <c r="B745" s="37"/>
      <c r="C745" s="37" t="s">
        <v>873</v>
      </c>
      <c r="D745" s="64">
        <v>26222</v>
      </c>
      <c r="E745" s="38">
        <v>3.52</v>
      </c>
      <c r="F745" s="39">
        <v>6.5295133999999999</v>
      </c>
      <c r="G745" s="38">
        <v>0</v>
      </c>
      <c r="H745" s="38">
        <v>0.22504651000000001</v>
      </c>
      <c r="I745" s="38">
        <v>1.2767107</v>
      </c>
      <c r="J745" s="38">
        <v>4.5611246000000001E-2</v>
      </c>
      <c r="K745" s="38">
        <v>9.4039550999999999E-2</v>
      </c>
      <c r="L745" s="40">
        <v>8.1709214069999998</v>
      </c>
    </row>
    <row r="746" spans="1:12" hidden="1">
      <c r="A746" s="37" t="s">
        <v>1550</v>
      </c>
      <c r="B746" s="37"/>
      <c r="C746" s="37" t="s">
        <v>826</v>
      </c>
      <c r="D746" s="64">
        <v>26109</v>
      </c>
      <c r="E746" s="38">
        <v>3.64</v>
      </c>
      <c r="F746" s="39">
        <v>5.3474227000000001</v>
      </c>
      <c r="G746" s="38">
        <v>0</v>
      </c>
      <c r="H746" s="38">
        <v>0.27530876999999998</v>
      </c>
      <c r="I746" s="38">
        <v>1.0455774</v>
      </c>
      <c r="J746" s="38">
        <v>3.7353873000000003E-2</v>
      </c>
      <c r="K746" s="38">
        <v>6.6736979E-3</v>
      </c>
      <c r="L746" s="40">
        <v>6.7123364408999997</v>
      </c>
    </row>
    <row r="747" spans="1:12" hidden="1">
      <c r="A747" s="37" t="s">
        <v>1551</v>
      </c>
      <c r="B747" s="37"/>
      <c r="C747" s="37" t="s">
        <v>826</v>
      </c>
      <c r="D747" s="64">
        <v>26088</v>
      </c>
      <c r="E747" s="38">
        <v>3.57</v>
      </c>
      <c r="F747" s="39">
        <v>11.269168000000001</v>
      </c>
      <c r="G747" s="38">
        <v>0</v>
      </c>
      <c r="H747" s="38">
        <v>0.27530876999999998</v>
      </c>
      <c r="I747" s="38">
        <v>0.99916660000000002</v>
      </c>
      <c r="J747" s="38">
        <v>3.7353873000000003E-2</v>
      </c>
      <c r="K747" s="38">
        <v>6.6736979E-3</v>
      </c>
      <c r="L747" s="40">
        <v>12.587670940900002</v>
      </c>
    </row>
    <row r="748" spans="1:12" hidden="1">
      <c r="A748" s="37" t="s">
        <v>1552</v>
      </c>
      <c r="B748" s="37"/>
      <c r="C748" s="37" t="s">
        <v>826</v>
      </c>
      <c r="D748" s="64">
        <v>26080</v>
      </c>
      <c r="E748" s="38">
        <v>3.57</v>
      </c>
      <c r="F748" s="39">
        <v>7.6943339000000002</v>
      </c>
      <c r="G748" s="38">
        <v>0</v>
      </c>
      <c r="H748" s="38">
        <v>0.27530876999999998</v>
      </c>
      <c r="I748" s="38">
        <v>0.99916660000000002</v>
      </c>
      <c r="J748" s="38">
        <v>3.7353873000000003E-2</v>
      </c>
      <c r="K748" s="38">
        <v>6.6736979E-3</v>
      </c>
      <c r="L748" s="40">
        <v>9.0128368409000004</v>
      </c>
    </row>
    <row r="749" spans="1:12" hidden="1">
      <c r="A749" s="37" t="s">
        <v>1553</v>
      </c>
      <c r="B749" s="37"/>
      <c r="C749" s="37" t="s">
        <v>674</v>
      </c>
      <c r="D749" s="64">
        <v>25415</v>
      </c>
      <c r="E749" s="38">
        <v>1.96</v>
      </c>
      <c r="F749" s="39">
        <v>11.956106</v>
      </c>
      <c r="G749" s="38">
        <v>0.33667584</v>
      </c>
      <c r="H749" s="38">
        <v>0.27732452000000002</v>
      </c>
      <c r="I749" s="38">
        <v>0.21351682</v>
      </c>
      <c r="J749" s="38">
        <v>3.7768032999999999E-2</v>
      </c>
      <c r="K749" s="38">
        <v>9.2564276000000001E-2</v>
      </c>
      <c r="L749" s="40">
        <v>12.913955489000001</v>
      </c>
    </row>
    <row r="750" spans="1:12" hidden="1">
      <c r="A750" s="41" t="s">
        <v>1554</v>
      </c>
      <c r="B750" s="41"/>
      <c r="C750" s="41" t="s">
        <v>666</v>
      </c>
      <c r="D750" s="65">
        <v>31036</v>
      </c>
      <c r="E750" s="42">
        <v>2.89</v>
      </c>
      <c r="F750" s="43">
        <v>0.89920162999999997</v>
      </c>
      <c r="G750" s="42">
        <v>0.33587512000000003</v>
      </c>
      <c r="H750" s="42">
        <v>0.27079121</v>
      </c>
      <c r="I750" s="42">
        <v>0.19967935000000001</v>
      </c>
      <c r="J750" s="42">
        <v>1.7263204000000001E-2</v>
      </c>
      <c r="K750" s="42">
        <v>0</v>
      </c>
      <c r="L750" s="44">
        <v>1.7228105140000001</v>
      </c>
    </row>
    <row r="751" spans="1:12" hidden="1">
      <c r="A751" s="37" t="s">
        <v>1555</v>
      </c>
      <c r="B751" s="37"/>
      <c r="C751" s="37" t="s">
        <v>784</v>
      </c>
      <c r="D751" s="64">
        <v>20988</v>
      </c>
      <c r="E751" s="38">
        <v>2.99</v>
      </c>
      <c r="F751" s="39">
        <v>4.5528129000000002</v>
      </c>
      <c r="G751" s="38">
        <v>1.4896054000000001</v>
      </c>
      <c r="H751" s="38">
        <v>0.28987795999999999</v>
      </c>
      <c r="I751" s="38">
        <v>0.19846865999999999</v>
      </c>
      <c r="J751" s="38">
        <v>2.0039066000000001E-2</v>
      </c>
      <c r="K751" s="38">
        <v>9.9403358999999997E-3</v>
      </c>
      <c r="L751" s="40">
        <v>6.5607443218999997</v>
      </c>
    </row>
    <row r="752" spans="1:12" hidden="1">
      <c r="A752" s="41" t="s">
        <v>1556</v>
      </c>
      <c r="B752" s="41"/>
      <c r="C752" s="41" t="s">
        <v>654</v>
      </c>
      <c r="D752" s="65">
        <v>76080</v>
      </c>
      <c r="E752" s="42">
        <v>2.97</v>
      </c>
      <c r="F752" s="43">
        <v>4.4520645000000001E-3</v>
      </c>
      <c r="G752" s="42">
        <v>0</v>
      </c>
      <c r="H752" s="42">
        <v>0.14366176</v>
      </c>
      <c r="I752" s="42">
        <v>0.10265719</v>
      </c>
      <c r="J752" s="42">
        <v>1.5350219999999999E-2</v>
      </c>
      <c r="K752" s="42">
        <v>9.5338542000000001E-4</v>
      </c>
      <c r="L752" s="44">
        <v>0.26707461992000003</v>
      </c>
    </row>
    <row r="753" spans="1:12" hidden="1">
      <c r="A753" s="41" t="s">
        <v>1557</v>
      </c>
      <c r="B753" s="41"/>
      <c r="C753" s="41" t="s">
        <v>654</v>
      </c>
      <c r="D753" s="65">
        <v>76028</v>
      </c>
      <c r="E753" s="42">
        <v>2.97</v>
      </c>
      <c r="F753" s="43">
        <v>4.4520645000000001E-3</v>
      </c>
      <c r="G753" s="42">
        <v>0</v>
      </c>
      <c r="H753" s="42">
        <v>0.14366176</v>
      </c>
      <c r="I753" s="42">
        <v>0.10265719</v>
      </c>
      <c r="J753" s="42">
        <v>1.5350219999999999E-2</v>
      </c>
      <c r="K753" s="42">
        <v>9.5338542000000001E-4</v>
      </c>
      <c r="L753" s="44">
        <v>0.26707461992000003</v>
      </c>
    </row>
    <row r="754" spans="1:12" hidden="1">
      <c r="A754" s="37" t="s">
        <v>1558</v>
      </c>
      <c r="B754" s="37"/>
      <c r="C754" s="37" t="s">
        <v>657</v>
      </c>
      <c r="D754" s="64">
        <v>1001</v>
      </c>
      <c r="E754" s="38">
        <v>3.3</v>
      </c>
      <c r="F754" s="39">
        <v>6.2203355000000002E-3</v>
      </c>
      <c r="G754" s="38">
        <v>0.35111300000000001</v>
      </c>
      <c r="H754" s="38">
        <v>0.47782284000000003</v>
      </c>
      <c r="I754" s="38">
        <v>0.17638297999999999</v>
      </c>
      <c r="J754" s="38">
        <v>1.5108570999999999E-2</v>
      </c>
      <c r="K754" s="38">
        <v>0</v>
      </c>
      <c r="L754" s="40">
        <v>1.0266477265000002</v>
      </c>
    </row>
    <row r="755" spans="1:12" hidden="1">
      <c r="A755" s="41" t="s">
        <v>1559</v>
      </c>
      <c r="B755" s="41"/>
      <c r="C755" s="41" t="s">
        <v>657</v>
      </c>
      <c r="D755" s="65">
        <v>1023</v>
      </c>
      <c r="E755" s="42">
        <v>3.29</v>
      </c>
      <c r="F755" s="43">
        <v>6.2203355000000002E-3</v>
      </c>
      <c r="G755" s="42">
        <v>0.35111300000000001</v>
      </c>
      <c r="H755" s="42">
        <v>0.47782284000000003</v>
      </c>
      <c r="I755" s="42">
        <v>0.17638297999999999</v>
      </c>
      <c r="J755" s="42">
        <v>1.5108570999999999E-2</v>
      </c>
      <c r="K755" s="42">
        <v>6.6736979E-3</v>
      </c>
      <c r="L755" s="44">
        <v>1.0333214244000002</v>
      </c>
    </row>
    <row r="756" spans="1:12" hidden="1">
      <c r="A756" s="41" t="s">
        <v>1560</v>
      </c>
      <c r="B756" s="41"/>
      <c r="C756" s="41" t="s">
        <v>654</v>
      </c>
      <c r="D756" s="65">
        <v>18430</v>
      </c>
      <c r="E756" s="42">
        <v>2.5099999999999998</v>
      </c>
      <c r="F756" s="43">
        <v>4.4520645000000001E-3</v>
      </c>
      <c r="G756" s="42">
        <v>0</v>
      </c>
      <c r="H756" s="42">
        <v>0.14366176</v>
      </c>
      <c r="I756" s="42">
        <v>0.10265719</v>
      </c>
      <c r="J756" s="42">
        <v>1.5350219999999999E-2</v>
      </c>
      <c r="K756" s="42">
        <v>9.5338542000000001E-4</v>
      </c>
      <c r="L756" s="44">
        <v>0.26707461992000003</v>
      </c>
    </row>
    <row r="757" spans="1:12" hidden="1">
      <c r="A757" s="37" t="s">
        <v>1561</v>
      </c>
      <c r="B757" s="37"/>
      <c r="C757" s="37" t="s">
        <v>654</v>
      </c>
      <c r="D757" s="64">
        <v>76000</v>
      </c>
      <c r="E757" s="38">
        <v>2.97</v>
      </c>
      <c r="F757" s="39">
        <v>4.4520645000000001E-3</v>
      </c>
      <c r="G757" s="38">
        <v>0</v>
      </c>
      <c r="H757" s="38">
        <v>0.14366176</v>
      </c>
      <c r="I757" s="38">
        <v>0.10265719</v>
      </c>
      <c r="J757" s="38">
        <v>1.5350219999999999E-2</v>
      </c>
      <c r="K757" s="38">
        <v>9.5338542000000001E-4</v>
      </c>
      <c r="L757" s="40">
        <v>0.26707461992000003</v>
      </c>
    </row>
    <row r="758" spans="1:12" hidden="1">
      <c r="A758" s="37" t="s">
        <v>1562</v>
      </c>
      <c r="B758" s="37"/>
      <c r="C758" s="37" t="s">
        <v>654</v>
      </c>
      <c r="D758" s="64">
        <v>76001</v>
      </c>
      <c r="E758" s="38">
        <v>2.97</v>
      </c>
      <c r="F758" s="39">
        <v>4.4520645000000001E-3</v>
      </c>
      <c r="G758" s="38">
        <v>0</v>
      </c>
      <c r="H758" s="38">
        <v>0.14366176</v>
      </c>
      <c r="I758" s="38">
        <v>0.10265719</v>
      </c>
      <c r="J758" s="38">
        <v>1.5350219999999999E-2</v>
      </c>
      <c r="K758" s="38">
        <v>9.5338542000000001E-4</v>
      </c>
      <c r="L758" s="40">
        <v>0.26707461992000003</v>
      </c>
    </row>
    <row r="759" spans="1:12" hidden="1">
      <c r="A759" s="37" t="s">
        <v>1563</v>
      </c>
      <c r="B759" s="37"/>
      <c r="C759" s="37" t="s">
        <v>654</v>
      </c>
      <c r="D759" s="64">
        <v>76002</v>
      </c>
      <c r="E759" s="38">
        <v>3.01</v>
      </c>
      <c r="F759" s="39">
        <v>4.4520645000000001E-3</v>
      </c>
      <c r="G759" s="38">
        <v>0</v>
      </c>
      <c r="H759" s="38">
        <v>0.14366176</v>
      </c>
      <c r="I759" s="38">
        <v>0.10265719</v>
      </c>
      <c r="J759" s="38">
        <v>1.5350219999999999E-2</v>
      </c>
      <c r="K759" s="38">
        <v>9.5338542000000001E-4</v>
      </c>
      <c r="L759" s="40">
        <v>0.26707461992000003</v>
      </c>
    </row>
    <row r="760" spans="1:12" hidden="1">
      <c r="A760" s="37" t="s">
        <v>1564</v>
      </c>
      <c r="B760" s="37"/>
      <c r="C760" s="37" t="s">
        <v>654</v>
      </c>
      <c r="D760" s="64">
        <v>76004</v>
      </c>
      <c r="E760" s="38">
        <v>2.97</v>
      </c>
      <c r="F760" s="39">
        <v>4.4520645000000001E-3</v>
      </c>
      <c r="G760" s="38">
        <v>0</v>
      </c>
      <c r="H760" s="38">
        <v>0.14366176</v>
      </c>
      <c r="I760" s="38">
        <v>0.10265719</v>
      </c>
      <c r="J760" s="38">
        <v>1.5350219999999999E-2</v>
      </c>
      <c r="K760" s="38">
        <v>9.5338542000000001E-4</v>
      </c>
      <c r="L760" s="40">
        <v>0.26707461992000003</v>
      </c>
    </row>
    <row r="761" spans="1:12" hidden="1">
      <c r="A761" s="37" t="s">
        <v>1565</v>
      </c>
      <c r="B761" s="37"/>
      <c r="C761" s="37" t="s">
        <v>654</v>
      </c>
      <c r="D761" s="64">
        <v>76079</v>
      </c>
      <c r="E761" s="38">
        <v>2.97</v>
      </c>
      <c r="F761" s="39">
        <v>4.4520645000000001E-3</v>
      </c>
      <c r="G761" s="38">
        <v>0</v>
      </c>
      <c r="H761" s="38">
        <v>0.14366176</v>
      </c>
      <c r="I761" s="38">
        <v>0.10265719</v>
      </c>
      <c r="J761" s="38">
        <v>1.5350219999999999E-2</v>
      </c>
      <c r="K761" s="38">
        <v>9.5338542000000001E-4</v>
      </c>
      <c r="L761" s="40">
        <v>0.26707461992000003</v>
      </c>
    </row>
    <row r="762" spans="1:12" hidden="1">
      <c r="A762" s="37" t="s">
        <v>1566</v>
      </c>
      <c r="B762" s="37"/>
      <c r="C762" s="37" t="s">
        <v>654</v>
      </c>
      <c r="D762" s="64">
        <v>76006</v>
      </c>
      <c r="E762" s="38">
        <v>3.01</v>
      </c>
      <c r="F762" s="39">
        <v>4.4520645000000001E-3</v>
      </c>
      <c r="G762" s="38">
        <v>0</v>
      </c>
      <c r="H762" s="38">
        <v>0.14366176</v>
      </c>
      <c r="I762" s="38">
        <v>0.10265719</v>
      </c>
      <c r="J762" s="38">
        <v>1.5350219999999999E-2</v>
      </c>
      <c r="K762" s="38">
        <v>9.5338542000000001E-4</v>
      </c>
      <c r="L762" s="40">
        <v>0.26707461992000003</v>
      </c>
    </row>
    <row r="763" spans="1:12" hidden="1">
      <c r="A763" s="37" t="s">
        <v>1567</v>
      </c>
      <c r="B763" s="37"/>
      <c r="C763" s="37" t="s">
        <v>654</v>
      </c>
      <c r="D763" s="64">
        <v>76007</v>
      </c>
      <c r="E763" s="38">
        <v>3.01</v>
      </c>
      <c r="F763" s="39">
        <v>4.4520645000000001E-3</v>
      </c>
      <c r="G763" s="38">
        <v>0</v>
      </c>
      <c r="H763" s="38">
        <v>0.14366176</v>
      </c>
      <c r="I763" s="38">
        <v>0.10265719</v>
      </c>
      <c r="J763" s="38">
        <v>1.5350219999999999E-2</v>
      </c>
      <c r="K763" s="38">
        <v>9.5338542000000001E-4</v>
      </c>
      <c r="L763" s="40">
        <v>0.26707461992000003</v>
      </c>
    </row>
    <row r="764" spans="1:12" hidden="1">
      <c r="A764" s="37" t="s">
        <v>1568</v>
      </c>
      <c r="B764" s="37"/>
      <c r="C764" s="37" t="s">
        <v>654</v>
      </c>
      <c r="D764" s="64">
        <v>76062</v>
      </c>
      <c r="E764" s="38">
        <v>2.97</v>
      </c>
      <c r="F764" s="39">
        <v>4.4520645000000001E-3</v>
      </c>
      <c r="G764" s="38">
        <v>0</v>
      </c>
      <c r="H764" s="38">
        <v>0.14366176</v>
      </c>
      <c r="I764" s="38">
        <v>0.10265719</v>
      </c>
      <c r="J764" s="38">
        <v>1.5350219999999999E-2</v>
      </c>
      <c r="K764" s="38">
        <v>9.5338542000000001E-4</v>
      </c>
      <c r="L764" s="40">
        <v>0.26707461992000003</v>
      </c>
    </row>
    <row r="765" spans="1:12" hidden="1">
      <c r="A765" s="37" t="s">
        <v>1569</v>
      </c>
      <c r="B765" s="37"/>
      <c r="C765" s="37" t="s">
        <v>654</v>
      </c>
      <c r="D765" s="64">
        <v>76061</v>
      </c>
      <c r="E765" s="38">
        <v>3.01</v>
      </c>
      <c r="F765" s="39">
        <v>4.4520645000000001E-3</v>
      </c>
      <c r="G765" s="38">
        <v>0</v>
      </c>
      <c r="H765" s="38">
        <v>0.14366176</v>
      </c>
      <c r="I765" s="38">
        <v>0.10265719</v>
      </c>
      <c r="J765" s="38">
        <v>1.5350219999999999E-2</v>
      </c>
      <c r="K765" s="38">
        <v>9.5338542000000001E-4</v>
      </c>
      <c r="L765" s="40">
        <v>0.26707461992000003</v>
      </c>
    </row>
    <row r="766" spans="1:12" hidden="1">
      <c r="A766" s="37" t="s">
        <v>1570</v>
      </c>
      <c r="B766" s="37"/>
      <c r="C766" s="37" t="s">
        <v>654</v>
      </c>
      <c r="D766" s="64">
        <v>76063</v>
      </c>
      <c r="E766" s="38">
        <v>2.97</v>
      </c>
      <c r="F766" s="39">
        <v>4.4520645000000001E-3</v>
      </c>
      <c r="G766" s="38">
        <v>0</v>
      </c>
      <c r="H766" s="38">
        <v>0.14366176</v>
      </c>
      <c r="I766" s="38">
        <v>0.10265719</v>
      </c>
      <c r="J766" s="38">
        <v>1.5350219999999999E-2</v>
      </c>
      <c r="K766" s="38">
        <v>9.5338542000000001E-4</v>
      </c>
      <c r="L766" s="40">
        <v>0.26707461992000003</v>
      </c>
    </row>
    <row r="767" spans="1:12" hidden="1">
      <c r="A767" s="37" t="s">
        <v>1571</v>
      </c>
      <c r="B767" s="37"/>
      <c r="C767" s="37" t="s">
        <v>654</v>
      </c>
      <c r="D767" s="64">
        <v>76081</v>
      </c>
      <c r="E767" s="38">
        <v>2.97</v>
      </c>
      <c r="F767" s="39">
        <v>4.4520645000000001E-3</v>
      </c>
      <c r="G767" s="38">
        <v>0</v>
      </c>
      <c r="H767" s="38">
        <v>0.14366176</v>
      </c>
      <c r="I767" s="38">
        <v>0.10265719</v>
      </c>
      <c r="J767" s="38">
        <v>1.5350219999999999E-2</v>
      </c>
      <c r="K767" s="38">
        <v>9.5338542000000001E-4</v>
      </c>
      <c r="L767" s="40">
        <v>0.26707461992000003</v>
      </c>
    </row>
    <row r="768" spans="1:12" hidden="1">
      <c r="A768" s="41" t="s">
        <v>1572</v>
      </c>
      <c r="B768" s="41"/>
      <c r="C768" s="41" t="s">
        <v>654</v>
      </c>
      <c r="D768" s="65">
        <v>76100</v>
      </c>
      <c r="E768" s="42">
        <v>2.97</v>
      </c>
      <c r="F768" s="43">
        <v>4.4520645000000001E-3</v>
      </c>
      <c r="G768" s="42">
        <v>0</v>
      </c>
      <c r="H768" s="42">
        <v>0.14366176</v>
      </c>
      <c r="I768" s="42">
        <v>0.10265719</v>
      </c>
      <c r="J768" s="42">
        <v>1.5350219999999999E-2</v>
      </c>
      <c r="K768" s="42">
        <v>9.5338542000000001E-4</v>
      </c>
      <c r="L768" s="44">
        <v>0.26707461992000003</v>
      </c>
    </row>
    <row r="769" spans="1:12" hidden="1">
      <c r="A769" s="37" t="s">
        <v>1573</v>
      </c>
      <c r="B769" s="37"/>
      <c r="C769" s="37" t="s">
        <v>654</v>
      </c>
      <c r="D769" s="64">
        <v>76010</v>
      </c>
      <c r="E769" s="38">
        <v>2.97</v>
      </c>
      <c r="F769" s="39">
        <v>4.4520645000000001E-3</v>
      </c>
      <c r="G769" s="38">
        <v>0</v>
      </c>
      <c r="H769" s="38">
        <v>0.14366176</v>
      </c>
      <c r="I769" s="38">
        <v>0.10265719</v>
      </c>
      <c r="J769" s="38">
        <v>1.5350219999999999E-2</v>
      </c>
      <c r="K769" s="38">
        <v>9.5338542000000001E-4</v>
      </c>
      <c r="L769" s="40">
        <v>0.26707461992000003</v>
      </c>
    </row>
    <row r="770" spans="1:12" hidden="1">
      <c r="A770" s="37" t="s">
        <v>1574</v>
      </c>
      <c r="B770" s="37"/>
      <c r="C770" s="37" t="s">
        <v>654</v>
      </c>
      <c r="D770" s="64">
        <v>76011</v>
      </c>
      <c r="E770" s="38">
        <v>2.97</v>
      </c>
      <c r="F770" s="39">
        <v>4.4520645000000001E-3</v>
      </c>
      <c r="G770" s="38">
        <v>0</v>
      </c>
      <c r="H770" s="38">
        <v>0.14366176</v>
      </c>
      <c r="I770" s="38">
        <v>0.10265719</v>
      </c>
      <c r="J770" s="38">
        <v>1.5350219999999999E-2</v>
      </c>
      <c r="K770" s="38">
        <v>9.5338542000000001E-4</v>
      </c>
      <c r="L770" s="40">
        <v>0.26707461992000003</v>
      </c>
    </row>
    <row r="771" spans="1:12" hidden="1">
      <c r="A771" s="37" t="s">
        <v>1575</v>
      </c>
      <c r="B771" s="37"/>
      <c r="C771" s="37" t="s">
        <v>654</v>
      </c>
      <c r="D771" s="64">
        <v>76012</v>
      </c>
      <c r="E771" s="38">
        <v>2.97</v>
      </c>
      <c r="F771" s="39">
        <v>4.4520645000000001E-3</v>
      </c>
      <c r="G771" s="38">
        <v>0</v>
      </c>
      <c r="H771" s="38">
        <v>0.14366176</v>
      </c>
      <c r="I771" s="38">
        <v>0.10265719</v>
      </c>
      <c r="J771" s="38">
        <v>1.5350219999999999E-2</v>
      </c>
      <c r="K771" s="38">
        <v>9.5338542000000001E-4</v>
      </c>
      <c r="L771" s="40">
        <v>0.26707461992000003</v>
      </c>
    </row>
    <row r="772" spans="1:12" hidden="1">
      <c r="A772" s="37" t="s">
        <v>1576</v>
      </c>
      <c r="B772" s="37"/>
      <c r="C772" s="37" t="s">
        <v>654</v>
      </c>
      <c r="D772" s="64">
        <v>76013</v>
      </c>
      <c r="E772" s="38">
        <v>3.01</v>
      </c>
      <c r="F772" s="39">
        <v>4.4520645000000001E-3</v>
      </c>
      <c r="G772" s="38">
        <v>0</v>
      </c>
      <c r="H772" s="38">
        <v>0.14366176</v>
      </c>
      <c r="I772" s="38">
        <v>0.10265719</v>
      </c>
      <c r="J772" s="38">
        <v>1.5350219999999999E-2</v>
      </c>
      <c r="K772" s="38">
        <v>9.5338542000000001E-4</v>
      </c>
      <c r="L772" s="40">
        <v>0.26707461992000003</v>
      </c>
    </row>
    <row r="773" spans="1:12" hidden="1">
      <c r="A773" s="37" t="s">
        <v>1577</v>
      </c>
      <c r="B773" s="37"/>
      <c r="C773" s="37" t="s">
        <v>654</v>
      </c>
      <c r="D773" s="64">
        <v>76014</v>
      </c>
      <c r="E773" s="38">
        <v>3.01</v>
      </c>
      <c r="F773" s="39">
        <v>4.4520645000000001E-3</v>
      </c>
      <c r="G773" s="38">
        <v>0</v>
      </c>
      <c r="H773" s="38">
        <v>0.14366176</v>
      </c>
      <c r="I773" s="38">
        <v>0.10265719</v>
      </c>
      <c r="J773" s="38">
        <v>1.5350219999999999E-2</v>
      </c>
      <c r="K773" s="38">
        <v>9.5338542000000001E-4</v>
      </c>
      <c r="L773" s="40">
        <v>0.26707461992000003</v>
      </c>
    </row>
    <row r="774" spans="1:12" hidden="1">
      <c r="A774" s="37" t="s">
        <v>1578</v>
      </c>
      <c r="B774" s="37"/>
      <c r="C774" s="37" t="s">
        <v>654</v>
      </c>
      <c r="D774" s="64">
        <v>76065</v>
      </c>
      <c r="E774" s="38">
        <v>2.97</v>
      </c>
      <c r="F774" s="39">
        <v>4.4520645000000001E-3</v>
      </c>
      <c r="G774" s="38">
        <v>0</v>
      </c>
      <c r="H774" s="38">
        <v>0.14366176</v>
      </c>
      <c r="I774" s="38">
        <v>0.10265719</v>
      </c>
      <c r="J774" s="38">
        <v>1.5350219999999999E-2</v>
      </c>
      <c r="K774" s="38">
        <v>9.5338542000000001E-4</v>
      </c>
      <c r="L774" s="40">
        <v>0.26707461992000003</v>
      </c>
    </row>
    <row r="775" spans="1:12" hidden="1">
      <c r="A775" s="37" t="s">
        <v>1579</v>
      </c>
      <c r="B775" s="37"/>
      <c r="C775" s="37" t="s">
        <v>654</v>
      </c>
      <c r="D775" s="64">
        <v>76066</v>
      </c>
      <c r="E775" s="38">
        <v>2.97</v>
      </c>
      <c r="F775" s="39">
        <v>4.4520645000000001E-3</v>
      </c>
      <c r="G775" s="38">
        <v>0</v>
      </c>
      <c r="H775" s="38">
        <v>0.14366176</v>
      </c>
      <c r="I775" s="38">
        <v>0.10265719</v>
      </c>
      <c r="J775" s="38">
        <v>1.5350219999999999E-2</v>
      </c>
      <c r="K775" s="38">
        <v>9.5338542000000001E-4</v>
      </c>
      <c r="L775" s="40">
        <v>0.26707461992000003</v>
      </c>
    </row>
    <row r="776" spans="1:12" hidden="1">
      <c r="A776" s="37" t="s">
        <v>1580</v>
      </c>
      <c r="B776" s="37"/>
      <c r="C776" s="37" t="s">
        <v>654</v>
      </c>
      <c r="D776" s="64">
        <v>76083</v>
      </c>
      <c r="E776" s="38">
        <v>3.01</v>
      </c>
      <c r="F776" s="39">
        <v>4.4520645000000001E-3</v>
      </c>
      <c r="G776" s="38">
        <v>0</v>
      </c>
      <c r="H776" s="38">
        <v>0.14366176</v>
      </c>
      <c r="I776" s="38">
        <v>0.10265719</v>
      </c>
      <c r="J776" s="38">
        <v>1.5350219999999999E-2</v>
      </c>
      <c r="K776" s="38">
        <v>9.5338542000000001E-4</v>
      </c>
      <c r="L776" s="40">
        <v>0.26707461992000003</v>
      </c>
    </row>
    <row r="777" spans="1:12" hidden="1">
      <c r="A777" s="37" t="s">
        <v>1581</v>
      </c>
      <c r="B777" s="37"/>
      <c r="C777" s="37" t="s">
        <v>654</v>
      </c>
      <c r="D777" s="64">
        <v>76015</v>
      </c>
      <c r="E777" s="38">
        <v>2.97</v>
      </c>
      <c r="F777" s="39">
        <v>4.4520645000000001E-3</v>
      </c>
      <c r="G777" s="38">
        <v>0</v>
      </c>
      <c r="H777" s="38">
        <v>0.14366176</v>
      </c>
      <c r="I777" s="38">
        <v>0.10265719</v>
      </c>
      <c r="J777" s="38">
        <v>1.5350219999999999E-2</v>
      </c>
      <c r="K777" s="38">
        <v>9.5338542000000001E-4</v>
      </c>
      <c r="L777" s="40">
        <v>0.26707461992000003</v>
      </c>
    </row>
    <row r="778" spans="1:12" hidden="1">
      <c r="A778" s="37" t="s">
        <v>1582</v>
      </c>
      <c r="B778" s="37"/>
      <c r="C778" s="37" t="s">
        <v>654</v>
      </c>
      <c r="D778" s="64">
        <v>76016</v>
      </c>
      <c r="E778" s="38">
        <v>2.97</v>
      </c>
      <c r="F778" s="39">
        <v>4.4520645000000001E-3</v>
      </c>
      <c r="G778" s="38">
        <v>0</v>
      </c>
      <c r="H778" s="38">
        <v>0.14366176</v>
      </c>
      <c r="I778" s="38">
        <v>0.10265719</v>
      </c>
      <c r="J778" s="38">
        <v>1.5350219999999999E-2</v>
      </c>
      <c r="K778" s="38">
        <v>9.5338542000000001E-4</v>
      </c>
      <c r="L778" s="40">
        <v>0.26707461992000003</v>
      </c>
    </row>
    <row r="779" spans="1:12" hidden="1">
      <c r="A779" s="37" t="s">
        <v>1583</v>
      </c>
      <c r="B779" s="37"/>
      <c r="C779" s="37" t="s">
        <v>654</v>
      </c>
      <c r="D779" s="64">
        <v>76067</v>
      </c>
      <c r="E779" s="38">
        <v>2.97</v>
      </c>
      <c r="F779" s="39">
        <v>4.4520645000000001E-3</v>
      </c>
      <c r="G779" s="38">
        <v>0</v>
      </c>
      <c r="H779" s="38">
        <v>0.14366176</v>
      </c>
      <c r="I779" s="38">
        <v>0.10265719</v>
      </c>
      <c r="J779" s="38">
        <v>1.5350219999999999E-2</v>
      </c>
      <c r="K779" s="38">
        <v>9.5338542000000001E-4</v>
      </c>
      <c r="L779" s="40">
        <v>0.26707461992000003</v>
      </c>
    </row>
    <row r="780" spans="1:12" hidden="1">
      <c r="A780" s="37" t="s">
        <v>1584</v>
      </c>
      <c r="B780" s="37"/>
      <c r="C780" s="37" t="s">
        <v>654</v>
      </c>
      <c r="D780" s="64">
        <v>76017</v>
      </c>
      <c r="E780" s="38">
        <v>2.97</v>
      </c>
      <c r="F780" s="39">
        <v>4.4520645000000001E-3</v>
      </c>
      <c r="G780" s="38">
        <v>0</v>
      </c>
      <c r="H780" s="38">
        <v>0.14366176</v>
      </c>
      <c r="I780" s="38">
        <v>0.10265719</v>
      </c>
      <c r="J780" s="38">
        <v>1.5350219999999999E-2</v>
      </c>
      <c r="K780" s="38">
        <v>9.5338542000000001E-4</v>
      </c>
      <c r="L780" s="40">
        <v>0.26707461992000003</v>
      </c>
    </row>
    <row r="781" spans="1:12" hidden="1">
      <c r="A781" s="37" t="s">
        <v>1585</v>
      </c>
      <c r="B781" s="37"/>
      <c r="C781" s="37" t="s">
        <v>654</v>
      </c>
      <c r="D781" s="64">
        <v>76019</v>
      </c>
      <c r="E781" s="38">
        <v>2.97</v>
      </c>
      <c r="F781" s="39">
        <v>4.4520645000000001E-3</v>
      </c>
      <c r="G781" s="38">
        <v>0</v>
      </c>
      <c r="H781" s="38">
        <v>0.14366176</v>
      </c>
      <c r="I781" s="38">
        <v>0.10265719</v>
      </c>
      <c r="J781" s="38">
        <v>1.5350219999999999E-2</v>
      </c>
      <c r="K781" s="38">
        <v>9.5338542000000001E-4</v>
      </c>
      <c r="L781" s="40">
        <v>0.26707461992000003</v>
      </c>
    </row>
    <row r="782" spans="1:12" hidden="1">
      <c r="A782" s="37" t="s">
        <v>1586</v>
      </c>
      <c r="B782" s="37"/>
      <c r="C782" s="37" t="s">
        <v>654</v>
      </c>
      <c r="D782" s="64">
        <v>76018</v>
      </c>
      <c r="E782" s="38">
        <v>3.01</v>
      </c>
      <c r="F782" s="39">
        <v>4.4520645000000001E-3</v>
      </c>
      <c r="G782" s="38">
        <v>0</v>
      </c>
      <c r="H782" s="38">
        <v>0.14366176</v>
      </c>
      <c r="I782" s="38">
        <v>0.10265719</v>
      </c>
      <c r="J782" s="38">
        <v>1.5350219999999999E-2</v>
      </c>
      <c r="K782" s="38">
        <v>9.5338542000000001E-4</v>
      </c>
      <c r="L782" s="40">
        <v>0.26707461992000003</v>
      </c>
    </row>
    <row r="783" spans="1:12" hidden="1">
      <c r="A783" s="41" t="s">
        <v>1587</v>
      </c>
      <c r="B783" s="41"/>
      <c r="C783" s="41" t="s">
        <v>654</v>
      </c>
      <c r="D783" s="65">
        <v>76102</v>
      </c>
      <c r="E783" s="42">
        <v>2.97</v>
      </c>
      <c r="F783" s="43">
        <v>4.4520645000000001E-3</v>
      </c>
      <c r="G783" s="42">
        <v>0</v>
      </c>
      <c r="H783" s="42">
        <v>0.14366176</v>
      </c>
      <c r="I783" s="42">
        <v>0.10265719</v>
      </c>
      <c r="J783" s="42">
        <v>1.5350219999999999E-2</v>
      </c>
      <c r="K783" s="42">
        <v>9.5338542000000001E-4</v>
      </c>
      <c r="L783" s="44">
        <v>0.26707461992000003</v>
      </c>
    </row>
    <row r="784" spans="1:12" hidden="1">
      <c r="A784" s="37" t="s">
        <v>1588</v>
      </c>
      <c r="B784" s="37"/>
      <c r="C784" s="37" t="s">
        <v>654</v>
      </c>
      <c r="D784" s="64">
        <v>76020</v>
      </c>
      <c r="E784" s="38">
        <v>2.97</v>
      </c>
      <c r="F784" s="39">
        <v>4.4520645000000001E-3</v>
      </c>
      <c r="G784" s="38">
        <v>0</v>
      </c>
      <c r="H784" s="38">
        <v>0.14366176</v>
      </c>
      <c r="I784" s="38">
        <v>0.10265719</v>
      </c>
      <c r="J784" s="38">
        <v>1.5350219999999999E-2</v>
      </c>
      <c r="K784" s="38">
        <v>9.5338542000000001E-4</v>
      </c>
      <c r="L784" s="40">
        <v>0.26707461992000003</v>
      </c>
    </row>
    <row r="785" spans="1:12" hidden="1">
      <c r="A785" s="37" t="s">
        <v>1589</v>
      </c>
      <c r="B785" s="37"/>
      <c r="C785" s="37" t="s">
        <v>654</v>
      </c>
      <c r="D785" s="64">
        <v>76022</v>
      </c>
      <c r="E785" s="38">
        <v>2.97</v>
      </c>
      <c r="F785" s="39">
        <v>4.4520645000000001E-3</v>
      </c>
      <c r="G785" s="38">
        <v>0</v>
      </c>
      <c r="H785" s="38">
        <v>0.14366176</v>
      </c>
      <c r="I785" s="38">
        <v>0.10265719</v>
      </c>
      <c r="J785" s="38">
        <v>1.5350219999999999E-2</v>
      </c>
      <c r="K785" s="38">
        <v>9.5338542000000001E-4</v>
      </c>
      <c r="L785" s="40">
        <v>0.26707461992000003</v>
      </c>
    </row>
    <row r="786" spans="1:12" hidden="1">
      <c r="A786" s="37" t="s">
        <v>1590</v>
      </c>
      <c r="B786" s="37"/>
      <c r="C786" s="37" t="s">
        <v>654</v>
      </c>
      <c r="D786" s="64">
        <v>76023</v>
      </c>
      <c r="E786" s="38">
        <v>3.01</v>
      </c>
      <c r="F786" s="39">
        <v>4.4520645000000001E-3</v>
      </c>
      <c r="G786" s="38">
        <v>0</v>
      </c>
      <c r="H786" s="38">
        <v>0.14366176</v>
      </c>
      <c r="I786" s="38">
        <v>0.10265719</v>
      </c>
      <c r="J786" s="38">
        <v>1.5350219999999999E-2</v>
      </c>
      <c r="K786" s="38">
        <v>9.5338542000000001E-4</v>
      </c>
      <c r="L786" s="40">
        <v>0.26707461992000003</v>
      </c>
    </row>
    <row r="787" spans="1:12" hidden="1">
      <c r="A787" s="37" t="s">
        <v>1591</v>
      </c>
      <c r="B787" s="37"/>
      <c r="C787" s="37" t="s">
        <v>654</v>
      </c>
      <c r="D787" s="64">
        <v>76082</v>
      </c>
      <c r="E787" s="38">
        <v>2.97</v>
      </c>
      <c r="F787" s="39">
        <v>4.4520645000000001E-3</v>
      </c>
      <c r="G787" s="38">
        <v>0</v>
      </c>
      <c r="H787" s="38">
        <v>0.14366176</v>
      </c>
      <c r="I787" s="38">
        <v>0.10265719</v>
      </c>
      <c r="J787" s="38">
        <v>1.5350219999999999E-2</v>
      </c>
      <c r="K787" s="38">
        <v>9.5338542000000001E-4</v>
      </c>
      <c r="L787" s="40">
        <v>0.26707461992000003</v>
      </c>
    </row>
    <row r="788" spans="1:12" hidden="1">
      <c r="A788" s="37" t="s">
        <v>1592</v>
      </c>
      <c r="B788" s="37"/>
      <c r="C788" s="37" t="s">
        <v>654</v>
      </c>
      <c r="D788" s="64">
        <v>76085</v>
      </c>
      <c r="E788" s="38">
        <v>2.97</v>
      </c>
      <c r="F788" s="39">
        <v>4.4520645000000001E-3</v>
      </c>
      <c r="G788" s="38">
        <v>0</v>
      </c>
      <c r="H788" s="38">
        <v>0.14366176</v>
      </c>
      <c r="I788" s="38">
        <v>0.10265719</v>
      </c>
      <c r="J788" s="38">
        <v>1.5350219999999999E-2</v>
      </c>
      <c r="K788" s="38">
        <v>9.5338542000000001E-4</v>
      </c>
      <c r="L788" s="40">
        <v>0.26707461992000003</v>
      </c>
    </row>
    <row r="789" spans="1:12" hidden="1">
      <c r="A789" s="37" t="s">
        <v>1593</v>
      </c>
      <c r="B789" s="37"/>
      <c r="C789" s="37" t="s">
        <v>654</v>
      </c>
      <c r="D789" s="64">
        <v>76069</v>
      </c>
      <c r="E789" s="38">
        <v>2.97</v>
      </c>
      <c r="F789" s="39">
        <v>4.4520645000000001E-3</v>
      </c>
      <c r="G789" s="38">
        <v>0</v>
      </c>
      <c r="H789" s="38">
        <v>0.14366176</v>
      </c>
      <c r="I789" s="38">
        <v>0.10265719</v>
      </c>
      <c r="J789" s="38">
        <v>1.5350219999999999E-2</v>
      </c>
      <c r="K789" s="38">
        <v>9.5338542000000001E-4</v>
      </c>
      <c r="L789" s="40">
        <v>0.26707461992000003</v>
      </c>
    </row>
    <row r="790" spans="1:12" hidden="1">
      <c r="A790" s="37" t="s">
        <v>1594</v>
      </c>
      <c r="B790" s="37"/>
      <c r="C790" s="37" t="s">
        <v>654</v>
      </c>
      <c r="D790" s="64">
        <v>76025</v>
      </c>
      <c r="E790" s="38">
        <v>2.97</v>
      </c>
      <c r="F790" s="39">
        <v>4.4520645000000001E-3</v>
      </c>
      <c r="G790" s="38">
        <v>0</v>
      </c>
      <c r="H790" s="38">
        <v>0.14366176</v>
      </c>
      <c r="I790" s="38">
        <v>0.10265719</v>
      </c>
      <c r="J790" s="38">
        <v>1.5350219999999999E-2</v>
      </c>
      <c r="K790" s="38">
        <v>9.5338542000000001E-4</v>
      </c>
      <c r="L790" s="40">
        <v>0.26707461992000003</v>
      </c>
    </row>
    <row r="791" spans="1:12" hidden="1">
      <c r="A791" s="37" t="s">
        <v>1595</v>
      </c>
      <c r="B791" s="37"/>
      <c r="C791" s="37" t="s">
        <v>654</v>
      </c>
      <c r="D791" s="64">
        <v>76070</v>
      </c>
      <c r="E791" s="38">
        <v>2.97</v>
      </c>
      <c r="F791" s="39">
        <v>4.4520645000000001E-3</v>
      </c>
      <c r="G791" s="38">
        <v>0</v>
      </c>
      <c r="H791" s="38">
        <v>0.14366176</v>
      </c>
      <c r="I791" s="38">
        <v>0.10265719</v>
      </c>
      <c r="J791" s="38">
        <v>1.5350219999999999E-2</v>
      </c>
      <c r="K791" s="38">
        <v>9.5338542000000001E-4</v>
      </c>
      <c r="L791" s="40">
        <v>0.26707461992000003</v>
      </c>
    </row>
    <row r="792" spans="1:12" hidden="1">
      <c r="A792" s="41" t="s">
        <v>1596</v>
      </c>
      <c r="B792" s="41"/>
      <c r="C792" s="41" t="s">
        <v>654</v>
      </c>
      <c r="D792" s="65">
        <v>76101</v>
      </c>
      <c r="E792" s="42">
        <v>2.97</v>
      </c>
      <c r="F792" s="43">
        <v>4.4520645000000001E-3</v>
      </c>
      <c r="G792" s="42">
        <v>0</v>
      </c>
      <c r="H792" s="42">
        <v>0.14366176</v>
      </c>
      <c r="I792" s="42">
        <v>0.10265719</v>
      </c>
      <c r="J792" s="42">
        <v>1.5350219999999999E-2</v>
      </c>
      <c r="K792" s="42">
        <v>9.5338542000000001E-4</v>
      </c>
      <c r="L792" s="44">
        <v>0.26707461992000003</v>
      </c>
    </row>
    <row r="793" spans="1:12" hidden="1">
      <c r="A793" s="37" t="s">
        <v>1597</v>
      </c>
      <c r="B793" s="37"/>
      <c r="C793" s="37" t="s">
        <v>654</v>
      </c>
      <c r="D793" s="64">
        <v>76086</v>
      </c>
      <c r="E793" s="38">
        <v>2.97</v>
      </c>
      <c r="F793" s="39">
        <v>4.4520645000000001E-3</v>
      </c>
      <c r="G793" s="38">
        <v>0</v>
      </c>
      <c r="H793" s="38">
        <v>0.14366176</v>
      </c>
      <c r="I793" s="38">
        <v>0.10265719</v>
      </c>
      <c r="J793" s="38">
        <v>1.5350219999999999E-2</v>
      </c>
      <c r="K793" s="38">
        <v>9.5338542000000001E-4</v>
      </c>
      <c r="L793" s="40">
        <v>0.26707461992000003</v>
      </c>
    </row>
    <row r="794" spans="1:12" hidden="1">
      <c r="A794" s="37" t="s">
        <v>1598</v>
      </c>
      <c r="B794" s="37"/>
      <c r="C794" s="37" t="s">
        <v>654</v>
      </c>
      <c r="D794" s="64">
        <v>76087</v>
      </c>
      <c r="E794" s="38">
        <v>2.97</v>
      </c>
      <c r="F794" s="39">
        <v>4.4520645000000001E-3</v>
      </c>
      <c r="G794" s="38">
        <v>0</v>
      </c>
      <c r="H794" s="38">
        <v>0.14366176</v>
      </c>
      <c r="I794" s="38">
        <v>0.10265719</v>
      </c>
      <c r="J794" s="38">
        <v>1.5350219999999999E-2</v>
      </c>
      <c r="K794" s="38">
        <v>9.5338542000000001E-4</v>
      </c>
      <c r="L794" s="40">
        <v>0.26707461992000003</v>
      </c>
    </row>
    <row r="795" spans="1:12" hidden="1">
      <c r="A795" s="37" t="s">
        <v>1599</v>
      </c>
      <c r="B795" s="37"/>
      <c r="C795" s="37" t="s">
        <v>654</v>
      </c>
      <c r="D795" s="64">
        <v>76027</v>
      </c>
      <c r="E795" s="38">
        <v>2.97</v>
      </c>
      <c r="F795" s="39">
        <v>4.4520645000000001E-3</v>
      </c>
      <c r="G795" s="38">
        <v>0</v>
      </c>
      <c r="H795" s="38">
        <v>0.14366176</v>
      </c>
      <c r="I795" s="38">
        <v>0.10265719</v>
      </c>
      <c r="J795" s="38">
        <v>1.5350219999999999E-2</v>
      </c>
      <c r="K795" s="38">
        <v>9.5338542000000001E-4</v>
      </c>
      <c r="L795" s="40">
        <v>0.26707461992000003</v>
      </c>
    </row>
    <row r="796" spans="1:12" hidden="1">
      <c r="A796" s="37" t="s">
        <v>1600</v>
      </c>
      <c r="B796" s="37"/>
      <c r="C796" s="37" t="s">
        <v>654</v>
      </c>
      <c r="D796" s="64">
        <v>76071</v>
      </c>
      <c r="E796" s="38">
        <v>2.97</v>
      </c>
      <c r="F796" s="39">
        <v>4.4520645000000001E-3</v>
      </c>
      <c r="G796" s="38">
        <v>0</v>
      </c>
      <c r="H796" s="38">
        <v>0.14366176</v>
      </c>
      <c r="I796" s="38">
        <v>0.10265719</v>
      </c>
      <c r="J796" s="38">
        <v>1.5350219999999999E-2</v>
      </c>
      <c r="K796" s="38">
        <v>9.5338542000000001E-4</v>
      </c>
      <c r="L796" s="40">
        <v>0.26707461992000003</v>
      </c>
    </row>
    <row r="797" spans="1:12" hidden="1">
      <c r="A797" s="37" t="s">
        <v>1601</v>
      </c>
      <c r="B797" s="37"/>
      <c r="C797" s="37" t="s">
        <v>654</v>
      </c>
      <c r="D797" s="64">
        <v>76088</v>
      </c>
      <c r="E797" s="38">
        <v>3.01</v>
      </c>
      <c r="F797" s="39">
        <v>4.4520645000000001E-3</v>
      </c>
      <c r="G797" s="38">
        <v>0</v>
      </c>
      <c r="H797" s="38">
        <v>0.14366176</v>
      </c>
      <c r="I797" s="38">
        <v>0.10265719</v>
      </c>
      <c r="J797" s="38">
        <v>1.5350219999999999E-2</v>
      </c>
      <c r="K797" s="38">
        <v>9.5338542000000001E-4</v>
      </c>
      <c r="L797" s="40">
        <v>0.26707461992000003</v>
      </c>
    </row>
    <row r="798" spans="1:12" hidden="1">
      <c r="A798" s="37" t="s">
        <v>1602</v>
      </c>
      <c r="B798" s="37"/>
      <c r="C798" s="37" t="s">
        <v>654</v>
      </c>
      <c r="D798" s="64">
        <v>76089</v>
      </c>
      <c r="E798" s="38">
        <v>3.01</v>
      </c>
      <c r="F798" s="39">
        <v>4.4520645000000001E-3</v>
      </c>
      <c r="G798" s="38">
        <v>0</v>
      </c>
      <c r="H798" s="38">
        <v>0.14366176</v>
      </c>
      <c r="I798" s="38">
        <v>0.10265719</v>
      </c>
      <c r="J798" s="38">
        <v>1.5350219999999999E-2</v>
      </c>
      <c r="K798" s="38">
        <v>9.5338542000000001E-4</v>
      </c>
      <c r="L798" s="40">
        <v>0.26707461992000003</v>
      </c>
    </row>
    <row r="799" spans="1:12" hidden="1">
      <c r="A799" s="37" t="s">
        <v>1603</v>
      </c>
      <c r="B799" s="37"/>
      <c r="C799" s="37" t="s">
        <v>654</v>
      </c>
      <c r="D799" s="64">
        <v>76090</v>
      </c>
      <c r="E799" s="38">
        <v>2.97</v>
      </c>
      <c r="F799" s="39">
        <v>4.4520645000000001E-3</v>
      </c>
      <c r="G799" s="38">
        <v>0</v>
      </c>
      <c r="H799" s="38">
        <v>0.14366176</v>
      </c>
      <c r="I799" s="38">
        <v>0.10265719</v>
      </c>
      <c r="J799" s="38">
        <v>1.5350219999999999E-2</v>
      </c>
      <c r="K799" s="38">
        <v>9.5338542000000001E-4</v>
      </c>
      <c r="L799" s="40">
        <v>0.26707461992000003</v>
      </c>
    </row>
    <row r="800" spans="1:12" hidden="1">
      <c r="A800" s="37" t="s">
        <v>1604</v>
      </c>
      <c r="B800" s="37"/>
      <c r="C800" s="37" t="s">
        <v>654</v>
      </c>
      <c r="D800" s="64">
        <v>76029</v>
      </c>
      <c r="E800" s="38">
        <v>2.97</v>
      </c>
      <c r="F800" s="39">
        <v>4.4520645000000001E-3</v>
      </c>
      <c r="G800" s="38">
        <v>0</v>
      </c>
      <c r="H800" s="38">
        <v>0.14366176</v>
      </c>
      <c r="I800" s="38">
        <v>0.10265719</v>
      </c>
      <c r="J800" s="38">
        <v>1.5350219999999999E-2</v>
      </c>
      <c r="K800" s="38">
        <v>9.5338542000000001E-4</v>
      </c>
      <c r="L800" s="40">
        <v>0.26707461992000003</v>
      </c>
    </row>
    <row r="801" spans="1:12" hidden="1">
      <c r="A801" s="37" t="s">
        <v>1605</v>
      </c>
      <c r="B801" s="37"/>
      <c r="C801" s="37" t="s">
        <v>654</v>
      </c>
      <c r="D801" s="64">
        <v>76030</v>
      </c>
      <c r="E801" s="38">
        <v>3.01</v>
      </c>
      <c r="F801" s="39">
        <v>4.4520645000000001E-3</v>
      </c>
      <c r="G801" s="38">
        <v>0</v>
      </c>
      <c r="H801" s="38">
        <v>0.14366176</v>
      </c>
      <c r="I801" s="38">
        <v>0.10265719</v>
      </c>
      <c r="J801" s="38">
        <v>1.5350219999999999E-2</v>
      </c>
      <c r="K801" s="38">
        <v>9.5338542000000001E-4</v>
      </c>
      <c r="L801" s="40">
        <v>0.26707461992000003</v>
      </c>
    </row>
    <row r="802" spans="1:12" hidden="1">
      <c r="A802" s="37" t="s">
        <v>1606</v>
      </c>
      <c r="B802" s="37"/>
      <c r="C802" s="37" t="s">
        <v>654</v>
      </c>
      <c r="D802" s="64">
        <v>76031</v>
      </c>
      <c r="E802" s="38">
        <v>3.01</v>
      </c>
      <c r="F802" s="39">
        <v>4.4520645000000001E-3</v>
      </c>
      <c r="G802" s="38">
        <v>0</v>
      </c>
      <c r="H802" s="38">
        <v>0.14366176</v>
      </c>
      <c r="I802" s="38">
        <v>0.10265719</v>
      </c>
      <c r="J802" s="38">
        <v>1.5350219999999999E-2</v>
      </c>
      <c r="K802" s="38">
        <v>9.5338542000000001E-4</v>
      </c>
      <c r="L802" s="40">
        <v>0.26707461992000003</v>
      </c>
    </row>
    <row r="803" spans="1:12" hidden="1">
      <c r="A803" s="37" t="s">
        <v>1607</v>
      </c>
      <c r="B803" s="37"/>
      <c r="C803" s="37" t="s">
        <v>654</v>
      </c>
      <c r="D803" s="64">
        <v>76072</v>
      </c>
      <c r="E803" s="38">
        <v>2.97</v>
      </c>
      <c r="F803" s="39">
        <v>4.4520645000000001E-3</v>
      </c>
      <c r="G803" s="38">
        <v>0</v>
      </c>
      <c r="H803" s="38">
        <v>0.14366176</v>
      </c>
      <c r="I803" s="38">
        <v>0.10265719</v>
      </c>
      <c r="J803" s="38">
        <v>1.5350219999999999E-2</v>
      </c>
      <c r="K803" s="38">
        <v>9.5338542000000001E-4</v>
      </c>
      <c r="L803" s="40">
        <v>0.26707461992000003</v>
      </c>
    </row>
    <row r="804" spans="1:12" hidden="1">
      <c r="A804" s="37" t="s">
        <v>1608</v>
      </c>
      <c r="B804" s="37"/>
      <c r="C804" s="37" t="s">
        <v>654</v>
      </c>
      <c r="D804" s="64">
        <v>76060</v>
      </c>
      <c r="E804" s="38">
        <v>3.01</v>
      </c>
      <c r="F804" s="39">
        <v>4.4520645000000001E-3</v>
      </c>
      <c r="G804" s="38">
        <v>0</v>
      </c>
      <c r="H804" s="38">
        <v>0.14366176</v>
      </c>
      <c r="I804" s="38">
        <v>0.10265719</v>
      </c>
      <c r="J804" s="38">
        <v>1.5350219999999999E-2</v>
      </c>
      <c r="K804" s="38">
        <v>9.5338542000000001E-4</v>
      </c>
      <c r="L804" s="40">
        <v>0.26707461992000003</v>
      </c>
    </row>
    <row r="805" spans="1:12" hidden="1">
      <c r="A805" s="37" t="s">
        <v>1609</v>
      </c>
      <c r="B805" s="37"/>
      <c r="C805" s="37" t="s">
        <v>654</v>
      </c>
      <c r="D805" s="64">
        <v>76032</v>
      </c>
      <c r="E805" s="38">
        <v>2.97</v>
      </c>
      <c r="F805" s="39">
        <v>4.4520645000000001E-3</v>
      </c>
      <c r="G805" s="38">
        <v>0</v>
      </c>
      <c r="H805" s="38">
        <v>0.14366176</v>
      </c>
      <c r="I805" s="38">
        <v>0.10265719</v>
      </c>
      <c r="J805" s="38">
        <v>1.5350219999999999E-2</v>
      </c>
      <c r="K805" s="38">
        <v>9.5338542000000001E-4</v>
      </c>
      <c r="L805" s="40">
        <v>0.26707461992000003</v>
      </c>
    </row>
    <row r="806" spans="1:12" hidden="1">
      <c r="A806" s="37" t="s">
        <v>1610</v>
      </c>
      <c r="B806" s="37"/>
      <c r="C806" s="37" t="s">
        <v>654</v>
      </c>
      <c r="D806" s="64">
        <v>76091</v>
      </c>
      <c r="E806" s="38">
        <v>2.97</v>
      </c>
      <c r="F806" s="39">
        <v>4.4520645000000001E-3</v>
      </c>
      <c r="G806" s="38">
        <v>0</v>
      </c>
      <c r="H806" s="38">
        <v>0.14366176</v>
      </c>
      <c r="I806" s="38">
        <v>0.10265719</v>
      </c>
      <c r="J806" s="38">
        <v>1.5350219999999999E-2</v>
      </c>
      <c r="K806" s="38">
        <v>9.5338542000000001E-4</v>
      </c>
      <c r="L806" s="40">
        <v>0.26707461992000003</v>
      </c>
    </row>
    <row r="807" spans="1:12" hidden="1">
      <c r="A807" s="37" t="s">
        <v>1611</v>
      </c>
      <c r="B807" s="37"/>
      <c r="C807" s="37" t="s">
        <v>654</v>
      </c>
      <c r="D807" s="64">
        <v>76033</v>
      </c>
      <c r="E807" s="38">
        <v>2.97</v>
      </c>
      <c r="F807" s="39">
        <v>4.4520645000000001E-3</v>
      </c>
      <c r="G807" s="38">
        <v>0</v>
      </c>
      <c r="H807" s="38">
        <v>0.14366176</v>
      </c>
      <c r="I807" s="38">
        <v>0.10265719</v>
      </c>
      <c r="J807" s="38">
        <v>1.5350219999999999E-2</v>
      </c>
      <c r="K807" s="38">
        <v>9.5338542000000001E-4</v>
      </c>
      <c r="L807" s="40">
        <v>0.26707461992000003</v>
      </c>
    </row>
    <row r="808" spans="1:12" hidden="1">
      <c r="A808" s="37" t="s">
        <v>1612</v>
      </c>
      <c r="B808" s="37"/>
      <c r="C808" s="37" t="s">
        <v>654</v>
      </c>
      <c r="D808" s="64">
        <v>76034</v>
      </c>
      <c r="E808" s="38">
        <v>3.01</v>
      </c>
      <c r="F808" s="39">
        <v>4.4520645000000001E-3</v>
      </c>
      <c r="G808" s="38">
        <v>0</v>
      </c>
      <c r="H808" s="38">
        <v>0.14366176</v>
      </c>
      <c r="I808" s="38">
        <v>0.10265719</v>
      </c>
      <c r="J808" s="38">
        <v>1.5350219999999999E-2</v>
      </c>
      <c r="K808" s="38">
        <v>9.5338542000000001E-4</v>
      </c>
      <c r="L808" s="40">
        <v>0.26707461992000003</v>
      </c>
    </row>
    <row r="809" spans="1:12" hidden="1">
      <c r="A809" s="37" t="s">
        <v>1613</v>
      </c>
      <c r="B809" s="37"/>
      <c r="C809" s="37" t="s">
        <v>654</v>
      </c>
      <c r="D809" s="64">
        <v>76035</v>
      </c>
      <c r="E809" s="38">
        <v>3.01</v>
      </c>
      <c r="F809" s="39">
        <v>4.4520645000000001E-3</v>
      </c>
      <c r="G809" s="38">
        <v>0</v>
      </c>
      <c r="H809" s="38">
        <v>0.14366176</v>
      </c>
      <c r="I809" s="38">
        <v>0.10265719</v>
      </c>
      <c r="J809" s="38">
        <v>1.5350219999999999E-2</v>
      </c>
      <c r="K809" s="38">
        <v>9.5338542000000001E-4</v>
      </c>
      <c r="L809" s="40">
        <v>0.26707461992000003</v>
      </c>
    </row>
    <row r="810" spans="1:12" hidden="1">
      <c r="A810" s="37" t="s">
        <v>1614</v>
      </c>
      <c r="B810" s="37"/>
      <c r="C810" s="37" t="s">
        <v>654</v>
      </c>
      <c r="D810" s="64">
        <v>76036</v>
      </c>
      <c r="E810" s="38">
        <v>3.01</v>
      </c>
      <c r="F810" s="39">
        <v>4.4520645000000001E-3</v>
      </c>
      <c r="G810" s="38">
        <v>0</v>
      </c>
      <c r="H810" s="38">
        <v>0.14366176</v>
      </c>
      <c r="I810" s="38">
        <v>0.10265719</v>
      </c>
      <c r="J810" s="38">
        <v>1.5350219999999999E-2</v>
      </c>
      <c r="K810" s="38">
        <v>9.5338542000000001E-4</v>
      </c>
      <c r="L810" s="40">
        <v>0.26707461992000003</v>
      </c>
    </row>
    <row r="811" spans="1:12" hidden="1">
      <c r="A811" s="37" t="s">
        <v>1615</v>
      </c>
      <c r="B811" s="37"/>
      <c r="C811" s="37" t="s">
        <v>654</v>
      </c>
      <c r="D811" s="64">
        <v>76037</v>
      </c>
      <c r="E811" s="38">
        <v>3.01</v>
      </c>
      <c r="F811" s="39">
        <v>4.4520645000000001E-3</v>
      </c>
      <c r="G811" s="38">
        <v>0</v>
      </c>
      <c r="H811" s="38">
        <v>0.14366176</v>
      </c>
      <c r="I811" s="38">
        <v>0.10265719</v>
      </c>
      <c r="J811" s="38">
        <v>1.5350219999999999E-2</v>
      </c>
      <c r="K811" s="38">
        <v>9.5338542000000001E-4</v>
      </c>
      <c r="L811" s="40">
        <v>0.26707461992000003</v>
      </c>
    </row>
    <row r="812" spans="1:12" hidden="1">
      <c r="A812" s="37" t="s">
        <v>1616</v>
      </c>
      <c r="B812" s="37"/>
      <c r="C812" s="37" t="s">
        <v>654</v>
      </c>
      <c r="D812" s="64">
        <v>76038</v>
      </c>
      <c r="E812" s="38">
        <v>2.97</v>
      </c>
      <c r="F812" s="39">
        <v>4.4520645000000001E-3</v>
      </c>
      <c r="G812" s="38">
        <v>0</v>
      </c>
      <c r="H812" s="38">
        <v>0.14366176</v>
      </c>
      <c r="I812" s="38">
        <v>0.10265719</v>
      </c>
      <c r="J812" s="38">
        <v>1.5350219999999999E-2</v>
      </c>
      <c r="K812" s="38">
        <v>9.5338542000000001E-4</v>
      </c>
      <c r="L812" s="40">
        <v>0.26707461992000003</v>
      </c>
    </row>
    <row r="813" spans="1:12" hidden="1">
      <c r="A813" s="37" t="s">
        <v>1617</v>
      </c>
      <c r="B813" s="37"/>
      <c r="C813" s="37" t="s">
        <v>654</v>
      </c>
      <c r="D813" s="64">
        <v>76039</v>
      </c>
      <c r="E813" s="38">
        <v>3.01</v>
      </c>
      <c r="F813" s="39">
        <v>4.4520645000000001E-3</v>
      </c>
      <c r="G813" s="38">
        <v>0</v>
      </c>
      <c r="H813" s="38">
        <v>0.14366176</v>
      </c>
      <c r="I813" s="38">
        <v>0.10265719</v>
      </c>
      <c r="J813" s="38">
        <v>1.5350219999999999E-2</v>
      </c>
      <c r="K813" s="38">
        <v>9.5338542000000001E-4</v>
      </c>
      <c r="L813" s="40">
        <v>0.26707461992000003</v>
      </c>
    </row>
    <row r="814" spans="1:12" hidden="1">
      <c r="A814" s="37" t="s">
        <v>1618</v>
      </c>
      <c r="B814" s="37"/>
      <c r="C814" s="37" t="s">
        <v>654</v>
      </c>
      <c r="D814" s="64">
        <v>76074</v>
      </c>
      <c r="E814" s="38">
        <v>2.97</v>
      </c>
      <c r="F814" s="39">
        <v>4.4520645000000001E-3</v>
      </c>
      <c r="G814" s="38">
        <v>0</v>
      </c>
      <c r="H814" s="38">
        <v>0.14366176</v>
      </c>
      <c r="I814" s="38">
        <v>0.10265719</v>
      </c>
      <c r="J814" s="38">
        <v>1.5350219999999999E-2</v>
      </c>
      <c r="K814" s="38">
        <v>9.5338542000000001E-4</v>
      </c>
      <c r="L814" s="40">
        <v>0.26707461992000003</v>
      </c>
    </row>
    <row r="815" spans="1:12" hidden="1">
      <c r="A815" s="37" t="s">
        <v>1619</v>
      </c>
      <c r="B815" s="37"/>
      <c r="C815" s="37" t="s">
        <v>654</v>
      </c>
      <c r="D815" s="64">
        <v>76075</v>
      </c>
      <c r="E815" s="38">
        <v>3.01</v>
      </c>
      <c r="F815" s="39">
        <v>4.4520645000000001E-3</v>
      </c>
      <c r="G815" s="38">
        <v>0</v>
      </c>
      <c r="H815" s="38">
        <v>0.14366176</v>
      </c>
      <c r="I815" s="38">
        <v>0.10265719</v>
      </c>
      <c r="J815" s="38">
        <v>1.5350219999999999E-2</v>
      </c>
      <c r="K815" s="38">
        <v>9.5338542000000001E-4</v>
      </c>
      <c r="L815" s="40">
        <v>0.26707461992000003</v>
      </c>
    </row>
    <row r="816" spans="1:12" hidden="1">
      <c r="A816" s="37" t="s">
        <v>1620</v>
      </c>
      <c r="B816" s="37"/>
      <c r="C816" s="37" t="s">
        <v>654</v>
      </c>
      <c r="D816" s="64">
        <v>76076</v>
      </c>
      <c r="E816" s="38">
        <v>2.97</v>
      </c>
      <c r="F816" s="39">
        <v>4.4520645000000001E-3</v>
      </c>
      <c r="G816" s="38">
        <v>0</v>
      </c>
      <c r="H816" s="38">
        <v>0.14366176</v>
      </c>
      <c r="I816" s="38">
        <v>0.10265719</v>
      </c>
      <c r="J816" s="38">
        <v>1.5350219999999999E-2</v>
      </c>
      <c r="K816" s="38">
        <v>9.5338542000000001E-4</v>
      </c>
      <c r="L816" s="40">
        <v>0.26707461992000003</v>
      </c>
    </row>
    <row r="817" spans="1:12" hidden="1">
      <c r="A817" s="37" t="s">
        <v>1621</v>
      </c>
      <c r="B817" s="37"/>
      <c r="C817" s="37" t="s">
        <v>654</v>
      </c>
      <c r="D817" s="64">
        <v>76092</v>
      </c>
      <c r="E817" s="38">
        <v>3.01</v>
      </c>
      <c r="F817" s="39">
        <v>4.4520645000000001E-3</v>
      </c>
      <c r="G817" s="38">
        <v>0</v>
      </c>
      <c r="H817" s="38">
        <v>0.14366176</v>
      </c>
      <c r="I817" s="38">
        <v>0.10265719</v>
      </c>
      <c r="J817" s="38">
        <v>1.5350219999999999E-2</v>
      </c>
      <c r="K817" s="38">
        <v>9.5338542000000001E-4</v>
      </c>
      <c r="L817" s="40">
        <v>0.26707461992000003</v>
      </c>
    </row>
    <row r="818" spans="1:12" hidden="1">
      <c r="A818" s="37" t="s">
        <v>1622</v>
      </c>
      <c r="B818" s="37"/>
      <c r="C818" s="37" t="s">
        <v>654</v>
      </c>
      <c r="D818" s="64">
        <v>76043</v>
      </c>
      <c r="E818" s="38">
        <v>2.97</v>
      </c>
      <c r="F818" s="39">
        <v>4.4520645000000001E-3</v>
      </c>
      <c r="G818" s="38">
        <v>0</v>
      </c>
      <c r="H818" s="38">
        <v>0.14366176</v>
      </c>
      <c r="I818" s="38">
        <v>0.10265719</v>
      </c>
      <c r="J818" s="38">
        <v>1.5350219999999999E-2</v>
      </c>
      <c r="K818" s="38">
        <v>9.5338542000000001E-4</v>
      </c>
      <c r="L818" s="40">
        <v>0.26707461992000003</v>
      </c>
    </row>
    <row r="819" spans="1:12" hidden="1">
      <c r="A819" s="37" t="s">
        <v>1623</v>
      </c>
      <c r="B819" s="37"/>
      <c r="C819" s="37" t="s">
        <v>654</v>
      </c>
      <c r="D819" s="64">
        <v>76044</v>
      </c>
      <c r="E819" s="38">
        <v>2.97</v>
      </c>
      <c r="F819" s="39">
        <v>4.4520645000000001E-3</v>
      </c>
      <c r="G819" s="38">
        <v>0</v>
      </c>
      <c r="H819" s="38">
        <v>0.14366176</v>
      </c>
      <c r="I819" s="38">
        <v>0.10265719</v>
      </c>
      <c r="J819" s="38">
        <v>1.5350219999999999E-2</v>
      </c>
      <c r="K819" s="38">
        <v>9.5338542000000001E-4</v>
      </c>
      <c r="L819" s="40">
        <v>0.26707461992000003</v>
      </c>
    </row>
    <row r="820" spans="1:12" hidden="1">
      <c r="A820" s="37" t="s">
        <v>1624</v>
      </c>
      <c r="B820" s="37"/>
      <c r="C820" s="37" t="s">
        <v>654</v>
      </c>
      <c r="D820" s="64">
        <v>76046</v>
      </c>
      <c r="E820" s="38">
        <v>3.01</v>
      </c>
      <c r="F820" s="39">
        <v>4.4520645000000001E-3</v>
      </c>
      <c r="G820" s="38">
        <v>0</v>
      </c>
      <c r="H820" s="38">
        <v>0.14366176</v>
      </c>
      <c r="I820" s="38">
        <v>0.10265719</v>
      </c>
      <c r="J820" s="38">
        <v>1.5350219999999999E-2</v>
      </c>
      <c r="K820" s="38">
        <v>9.5338542000000001E-4</v>
      </c>
      <c r="L820" s="40">
        <v>0.26707461992000003</v>
      </c>
    </row>
    <row r="821" spans="1:12" hidden="1">
      <c r="A821" s="37" t="s">
        <v>1625</v>
      </c>
      <c r="B821" s="37"/>
      <c r="C821" s="37" t="s">
        <v>654</v>
      </c>
      <c r="D821" s="64">
        <v>76047</v>
      </c>
      <c r="E821" s="38">
        <v>3.01</v>
      </c>
      <c r="F821" s="39">
        <v>4.4520645000000001E-3</v>
      </c>
      <c r="G821" s="38">
        <v>0</v>
      </c>
      <c r="H821" s="38">
        <v>0.14366176</v>
      </c>
      <c r="I821" s="38">
        <v>0.10265719</v>
      </c>
      <c r="J821" s="38">
        <v>1.5350219999999999E-2</v>
      </c>
      <c r="K821" s="38">
        <v>9.5338542000000001E-4</v>
      </c>
      <c r="L821" s="40">
        <v>0.26707461992000003</v>
      </c>
    </row>
    <row r="822" spans="1:12" hidden="1">
      <c r="A822" s="37" t="s">
        <v>1626</v>
      </c>
      <c r="B822" s="37"/>
      <c r="C822" s="37" t="s">
        <v>654</v>
      </c>
      <c r="D822" s="64">
        <v>76093</v>
      </c>
      <c r="E822" s="38">
        <v>3.01</v>
      </c>
      <c r="F822" s="39">
        <v>4.4520645000000001E-3</v>
      </c>
      <c r="G822" s="38">
        <v>0</v>
      </c>
      <c r="H822" s="38">
        <v>0.14366176</v>
      </c>
      <c r="I822" s="38">
        <v>0.10265719</v>
      </c>
      <c r="J822" s="38">
        <v>1.5350219999999999E-2</v>
      </c>
      <c r="K822" s="38">
        <v>9.5338542000000001E-4</v>
      </c>
      <c r="L822" s="40">
        <v>0.26707461992000003</v>
      </c>
    </row>
    <row r="823" spans="1:12" hidden="1">
      <c r="A823" s="37" t="s">
        <v>1627</v>
      </c>
      <c r="B823" s="37"/>
      <c r="C823" s="37" t="s">
        <v>654</v>
      </c>
      <c r="D823" s="64">
        <v>76094</v>
      </c>
      <c r="E823" s="38">
        <v>3.01</v>
      </c>
      <c r="F823" s="39">
        <v>4.4520645000000001E-3</v>
      </c>
      <c r="G823" s="38">
        <v>0</v>
      </c>
      <c r="H823" s="38">
        <v>0.14366176</v>
      </c>
      <c r="I823" s="38">
        <v>0.10265719</v>
      </c>
      <c r="J823" s="38">
        <v>1.5350219999999999E-2</v>
      </c>
      <c r="K823" s="38">
        <v>9.5338542000000001E-4</v>
      </c>
      <c r="L823" s="40">
        <v>0.26707461992000003</v>
      </c>
    </row>
    <row r="824" spans="1:12" hidden="1">
      <c r="A824" s="37" t="s">
        <v>1628</v>
      </c>
      <c r="B824" s="37"/>
      <c r="C824" s="37" t="s">
        <v>654</v>
      </c>
      <c r="D824" s="64">
        <v>76049</v>
      </c>
      <c r="E824" s="38">
        <v>3.01</v>
      </c>
      <c r="F824" s="39">
        <v>4.4520645000000001E-3</v>
      </c>
      <c r="G824" s="38">
        <v>0</v>
      </c>
      <c r="H824" s="38">
        <v>0.14366176</v>
      </c>
      <c r="I824" s="38">
        <v>0.10265719</v>
      </c>
      <c r="J824" s="38">
        <v>1.5350219999999999E-2</v>
      </c>
      <c r="K824" s="38">
        <v>9.5338542000000001E-4</v>
      </c>
      <c r="L824" s="40">
        <v>0.26707461992000003</v>
      </c>
    </row>
    <row r="825" spans="1:12" hidden="1">
      <c r="A825" s="37" t="s">
        <v>1629</v>
      </c>
      <c r="B825" s="37"/>
      <c r="C825" s="37" t="s">
        <v>654</v>
      </c>
      <c r="D825" s="64">
        <v>76050</v>
      </c>
      <c r="E825" s="38">
        <v>2.97</v>
      </c>
      <c r="F825" s="39">
        <v>4.4520645000000001E-3</v>
      </c>
      <c r="G825" s="38">
        <v>0</v>
      </c>
      <c r="H825" s="38">
        <v>0.14366176</v>
      </c>
      <c r="I825" s="38">
        <v>0.10265719</v>
      </c>
      <c r="J825" s="38">
        <v>1.5350219999999999E-2</v>
      </c>
      <c r="K825" s="38">
        <v>9.5338542000000001E-4</v>
      </c>
      <c r="L825" s="40">
        <v>0.26707461992000003</v>
      </c>
    </row>
    <row r="826" spans="1:12" hidden="1">
      <c r="A826" s="37" t="s">
        <v>1630</v>
      </c>
      <c r="B826" s="37"/>
      <c r="C826" s="37" t="s">
        <v>654</v>
      </c>
      <c r="D826" s="64">
        <v>76095</v>
      </c>
      <c r="E826" s="38">
        <v>2.97</v>
      </c>
      <c r="F826" s="39">
        <v>4.4520645000000001E-3</v>
      </c>
      <c r="G826" s="38">
        <v>0</v>
      </c>
      <c r="H826" s="38">
        <v>0.14366176</v>
      </c>
      <c r="I826" s="38">
        <v>0.10265719</v>
      </c>
      <c r="J826" s="38">
        <v>1.5350219999999999E-2</v>
      </c>
      <c r="K826" s="38">
        <v>9.5338542000000001E-4</v>
      </c>
      <c r="L826" s="40">
        <v>0.26707461992000003</v>
      </c>
    </row>
    <row r="827" spans="1:12" hidden="1">
      <c r="A827" s="37" t="s">
        <v>1631</v>
      </c>
      <c r="B827" s="37"/>
      <c r="C827" s="37" t="s">
        <v>654</v>
      </c>
      <c r="D827" s="64">
        <v>76096</v>
      </c>
      <c r="E827" s="38">
        <v>3.01</v>
      </c>
      <c r="F827" s="39">
        <v>4.4520645000000001E-3</v>
      </c>
      <c r="G827" s="38">
        <v>0</v>
      </c>
      <c r="H827" s="38">
        <v>0.14366176</v>
      </c>
      <c r="I827" s="38">
        <v>0.10265719</v>
      </c>
      <c r="J827" s="38">
        <v>1.5350219999999999E-2</v>
      </c>
      <c r="K827" s="38">
        <v>9.5338542000000001E-4</v>
      </c>
      <c r="L827" s="40">
        <v>0.26707461992000003</v>
      </c>
    </row>
    <row r="828" spans="1:12" hidden="1">
      <c r="A828" s="37" t="s">
        <v>1632</v>
      </c>
      <c r="B828" s="37"/>
      <c r="C828" s="37" t="s">
        <v>654</v>
      </c>
      <c r="D828" s="64">
        <v>76078</v>
      </c>
      <c r="E828" s="38">
        <v>2.97</v>
      </c>
      <c r="F828" s="39">
        <v>4.4520645000000001E-3</v>
      </c>
      <c r="G828" s="38">
        <v>0</v>
      </c>
      <c r="H828" s="38">
        <v>0.14366176</v>
      </c>
      <c r="I828" s="38">
        <v>0.10265719</v>
      </c>
      <c r="J828" s="38">
        <v>1.5350219999999999E-2</v>
      </c>
      <c r="K828" s="38">
        <v>9.5338542000000001E-4</v>
      </c>
      <c r="L828" s="40">
        <v>0.26707461992000003</v>
      </c>
    </row>
    <row r="829" spans="1:12" hidden="1">
      <c r="A829" s="37" t="s">
        <v>1633</v>
      </c>
      <c r="B829" s="37"/>
      <c r="C829" s="37" t="s">
        <v>654</v>
      </c>
      <c r="D829" s="64">
        <v>76097</v>
      </c>
      <c r="E829" s="38">
        <v>2.97</v>
      </c>
      <c r="F829" s="39">
        <v>4.4520645000000001E-3</v>
      </c>
      <c r="G829" s="38">
        <v>0</v>
      </c>
      <c r="H829" s="38">
        <v>0.14366176</v>
      </c>
      <c r="I829" s="38">
        <v>0.10265719</v>
      </c>
      <c r="J829" s="38">
        <v>1.5350219999999999E-2</v>
      </c>
      <c r="K829" s="38">
        <v>9.5338542000000001E-4</v>
      </c>
      <c r="L829" s="40">
        <v>0.26707461992000003</v>
      </c>
    </row>
    <row r="830" spans="1:12" hidden="1">
      <c r="A830" s="37" t="s">
        <v>1634</v>
      </c>
      <c r="B830" s="37"/>
      <c r="C830" s="37" t="s">
        <v>654</v>
      </c>
      <c r="D830" s="64">
        <v>76053</v>
      </c>
      <c r="E830" s="38">
        <v>3.01</v>
      </c>
      <c r="F830" s="39">
        <v>4.4520645000000001E-3</v>
      </c>
      <c r="G830" s="38">
        <v>0</v>
      </c>
      <c r="H830" s="38">
        <v>0.14366176</v>
      </c>
      <c r="I830" s="38">
        <v>0.10265719</v>
      </c>
      <c r="J830" s="38">
        <v>1.5350219999999999E-2</v>
      </c>
      <c r="K830" s="38">
        <v>9.5338542000000001E-4</v>
      </c>
      <c r="L830" s="40">
        <v>0.26707461992000003</v>
      </c>
    </row>
    <row r="831" spans="1:12" hidden="1">
      <c r="A831" s="37" t="s">
        <v>1635</v>
      </c>
      <c r="B831" s="37"/>
      <c r="C831" s="37" t="s">
        <v>654</v>
      </c>
      <c r="D831" s="64">
        <v>76054</v>
      </c>
      <c r="E831" s="38">
        <v>3.01</v>
      </c>
      <c r="F831" s="39">
        <v>4.4520645000000001E-3</v>
      </c>
      <c r="G831" s="38">
        <v>0</v>
      </c>
      <c r="H831" s="38">
        <v>0.14366176</v>
      </c>
      <c r="I831" s="38">
        <v>0.10265719</v>
      </c>
      <c r="J831" s="38">
        <v>1.5350219999999999E-2</v>
      </c>
      <c r="K831" s="38">
        <v>9.5338542000000001E-4</v>
      </c>
      <c r="L831" s="40">
        <v>0.26707461992000003</v>
      </c>
    </row>
    <row r="832" spans="1:12" hidden="1">
      <c r="A832" s="37" t="s">
        <v>1636</v>
      </c>
      <c r="B832" s="37"/>
      <c r="C832" s="37" t="s">
        <v>654</v>
      </c>
      <c r="D832" s="64">
        <v>76024</v>
      </c>
      <c r="E832" s="38">
        <v>3.01</v>
      </c>
      <c r="F832" s="39">
        <v>4.4520645000000001E-3</v>
      </c>
      <c r="G832" s="38">
        <v>0</v>
      </c>
      <c r="H832" s="38">
        <v>0.14366176</v>
      </c>
      <c r="I832" s="38">
        <v>0.10265719</v>
      </c>
      <c r="J832" s="38">
        <v>1.5350219999999999E-2</v>
      </c>
      <c r="K832" s="38">
        <v>9.5338542000000001E-4</v>
      </c>
      <c r="L832" s="40">
        <v>0.26707461992000003</v>
      </c>
    </row>
    <row r="833" spans="1:12" hidden="1">
      <c r="A833" s="37" t="s">
        <v>1637</v>
      </c>
      <c r="B833" s="37"/>
      <c r="C833" s="37" t="s">
        <v>654</v>
      </c>
      <c r="D833" s="64">
        <v>76055</v>
      </c>
      <c r="E833" s="38">
        <v>3.01</v>
      </c>
      <c r="F833" s="39">
        <v>4.4520645000000001E-3</v>
      </c>
      <c r="G833" s="38">
        <v>0</v>
      </c>
      <c r="H833" s="38">
        <v>0.14366176</v>
      </c>
      <c r="I833" s="38">
        <v>0.10265719</v>
      </c>
      <c r="J833" s="38">
        <v>1.5350219999999999E-2</v>
      </c>
      <c r="K833" s="38">
        <v>9.5338542000000001E-4</v>
      </c>
      <c r="L833" s="40">
        <v>0.26707461992000003</v>
      </c>
    </row>
    <row r="834" spans="1:12" hidden="1">
      <c r="A834" s="37" t="s">
        <v>1638</v>
      </c>
      <c r="B834" s="37"/>
      <c r="C834" s="37" t="s">
        <v>654</v>
      </c>
      <c r="D834" s="64">
        <v>76056</v>
      </c>
      <c r="E834" s="38">
        <v>2.97</v>
      </c>
      <c r="F834" s="39">
        <v>4.4520645000000001E-3</v>
      </c>
      <c r="G834" s="38">
        <v>0</v>
      </c>
      <c r="H834" s="38">
        <v>0.14366176</v>
      </c>
      <c r="I834" s="38">
        <v>0.10265719</v>
      </c>
      <c r="J834" s="38">
        <v>1.5350219999999999E-2</v>
      </c>
      <c r="K834" s="38">
        <v>9.5338542000000001E-4</v>
      </c>
      <c r="L834" s="40">
        <v>0.26707461992000003</v>
      </c>
    </row>
    <row r="835" spans="1:12" hidden="1">
      <c r="A835" s="37" t="s">
        <v>1639</v>
      </c>
      <c r="B835" s="37"/>
      <c r="C835" s="37" t="s">
        <v>654</v>
      </c>
      <c r="D835" s="64">
        <v>76058</v>
      </c>
      <c r="E835" s="38">
        <v>3.01</v>
      </c>
      <c r="F835" s="39">
        <v>4.4520645000000001E-3</v>
      </c>
      <c r="G835" s="38">
        <v>0</v>
      </c>
      <c r="H835" s="38">
        <v>0.14366176</v>
      </c>
      <c r="I835" s="38">
        <v>0.10265719</v>
      </c>
      <c r="J835" s="38">
        <v>1.5350219999999999E-2</v>
      </c>
      <c r="K835" s="38">
        <v>9.5338542000000001E-4</v>
      </c>
      <c r="L835" s="40">
        <v>0.26707461992000003</v>
      </c>
    </row>
    <row r="836" spans="1:12" hidden="1">
      <c r="A836" s="37" t="s">
        <v>1640</v>
      </c>
      <c r="B836" s="37"/>
      <c r="C836" s="37" t="s">
        <v>654</v>
      </c>
      <c r="D836" s="64">
        <v>76057</v>
      </c>
      <c r="E836" s="38">
        <v>2.97</v>
      </c>
      <c r="F836" s="39">
        <v>4.4520645000000001E-3</v>
      </c>
      <c r="G836" s="38">
        <v>0</v>
      </c>
      <c r="H836" s="38">
        <v>0.14366176</v>
      </c>
      <c r="I836" s="38">
        <v>0.10265719</v>
      </c>
      <c r="J836" s="38">
        <v>1.5350219999999999E-2</v>
      </c>
      <c r="K836" s="38">
        <v>9.5338542000000001E-4</v>
      </c>
      <c r="L836" s="40">
        <v>0.26707461992000003</v>
      </c>
    </row>
    <row r="837" spans="1:12" hidden="1">
      <c r="A837" s="37" t="s">
        <v>1641</v>
      </c>
      <c r="B837" s="37"/>
      <c r="C837" s="37" t="s">
        <v>654</v>
      </c>
      <c r="D837" s="64">
        <v>76059</v>
      </c>
      <c r="E837" s="38">
        <v>2.97</v>
      </c>
      <c r="F837" s="39">
        <v>4.4520645000000001E-3</v>
      </c>
      <c r="G837" s="38">
        <v>0</v>
      </c>
      <c r="H837" s="38">
        <v>0.14366176</v>
      </c>
      <c r="I837" s="38">
        <v>0.10265719</v>
      </c>
      <c r="J837" s="38">
        <v>1.5350219999999999E-2</v>
      </c>
      <c r="K837" s="38">
        <v>9.5338542000000001E-4</v>
      </c>
      <c r="L837" s="40">
        <v>0.26707461992000003</v>
      </c>
    </row>
    <row r="838" spans="1:12" hidden="1">
      <c r="A838" s="41" t="s">
        <v>1642</v>
      </c>
      <c r="B838" s="41"/>
      <c r="C838" s="41" t="s">
        <v>842</v>
      </c>
      <c r="D838" s="65">
        <v>20097</v>
      </c>
      <c r="E838" s="42">
        <v>2.6</v>
      </c>
      <c r="F838" s="43">
        <v>8.2227265999999993E-2</v>
      </c>
      <c r="G838" s="42">
        <v>0</v>
      </c>
      <c r="H838" s="42">
        <v>0</v>
      </c>
      <c r="I838" s="42">
        <v>0.24073502999999999</v>
      </c>
      <c r="J838" s="42">
        <v>9.7605451999999999E-3</v>
      </c>
      <c r="K838" s="42">
        <v>3.2140419000000003E-2</v>
      </c>
      <c r="L838" s="44">
        <v>0.36486326020000004</v>
      </c>
    </row>
    <row r="839" spans="1:12" hidden="1">
      <c r="A839" s="41" t="s">
        <v>1643</v>
      </c>
      <c r="B839" s="41"/>
      <c r="C839" s="41" t="s">
        <v>842</v>
      </c>
      <c r="D839" s="65">
        <v>20255</v>
      </c>
      <c r="E839" s="42">
        <v>3</v>
      </c>
      <c r="F839" s="43">
        <v>9.7028172999999995E-2</v>
      </c>
      <c r="G839" s="42">
        <v>0</v>
      </c>
      <c r="H839" s="42">
        <v>0.37840388000000003</v>
      </c>
      <c r="I839" s="42">
        <v>0.29653096000000001</v>
      </c>
      <c r="J839" s="42">
        <v>1.2995209000000001E-2</v>
      </c>
      <c r="K839" s="42">
        <v>0.13820644000000001</v>
      </c>
      <c r="L839" s="44">
        <v>0.92316466200000002</v>
      </c>
    </row>
    <row r="840" spans="1:12" hidden="1">
      <c r="A840" s="37" t="s">
        <v>1644</v>
      </c>
      <c r="B840" s="37"/>
      <c r="C840" s="37" t="s">
        <v>668</v>
      </c>
      <c r="D840" s="64">
        <v>23477</v>
      </c>
      <c r="E840" s="38">
        <v>2.19</v>
      </c>
      <c r="F840" s="39">
        <v>2.9125681999999999</v>
      </c>
      <c r="G840" s="38">
        <v>0.23251472000000001</v>
      </c>
      <c r="H840" s="38">
        <v>0.28780336000000001</v>
      </c>
      <c r="I840" s="38">
        <v>0.15721856000000001</v>
      </c>
      <c r="J840" s="38">
        <v>1.9437894000000001E-2</v>
      </c>
      <c r="K840" s="38">
        <v>0</v>
      </c>
      <c r="L840" s="40">
        <v>3.6095427340000001</v>
      </c>
    </row>
    <row r="841" spans="1:12" hidden="1">
      <c r="A841" s="37" t="s">
        <v>1645</v>
      </c>
      <c r="B841" s="37"/>
      <c r="C841" s="37" t="s">
        <v>640</v>
      </c>
      <c r="D841" s="64">
        <v>12729</v>
      </c>
      <c r="E841" s="38">
        <v>2.2400000000000002</v>
      </c>
      <c r="F841" s="39">
        <v>4.9448384000000001</v>
      </c>
      <c r="G841" s="38">
        <v>0.41647159</v>
      </c>
      <c r="H841" s="38">
        <v>0.26233268999999998</v>
      </c>
      <c r="I841" s="38">
        <v>0.21100323000000001</v>
      </c>
      <c r="J841" s="38">
        <v>3.5969872999999999E-2</v>
      </c>
      <c r="K841" s="38">
        <v>6.6736979E-3</v>
      </c>
      <c r="L841" s="40">
        <v>5.8772894809000009</v>
      </c>
    </row>
    <row r="842" spans="1:12" hidden="1">
      <c r="A842" s="41" t="s">
        <v>1646</v>
      </c>
      <c r="B842" s="41"/>
      <c r="C842" s="41" t="s">
        <v>1647</v>
      </c>
      <c r="D842" s="65">
        <v>31064</v>
      </c>
      <c r="E842" s="42">
        <v>3.65</v>
      </c>
      <c r="F842" s="43">
        <v>0.28460326000000002</v>
      </c>
      <c r="G842" s="42">
        <v>0.18539030000000001</v>
      </c>
      <c r="H842" s="42">
        <v>0.17071537000000001</v>
      </c>
      <c r="I842" s="42">
        <v>0.12295462</v>
      </c>
      <c r="J842" s="42">
        <v>1.7263204000000001E-2</v>
      </c>
      <c r="K842" s="42">
        <v>0</v>
      </c>
      <c r="L842" s="44">
        <v>0.78092675400000011</v>
      </c>
    </row>
    <row r="843" spans="1:12" hidden="1">
      <c r="A843" s="37" t="s">
        <v>1648</v>
      </c>
      <c r="B843" s="37"/>
      <c r="C843" s="37" t="s">
        <v>826</v>
      </c>
      <c r="D843" s="64">
        <v>26122</v>
      </c>
      <c r="E843" s="38">
        <v>3.57</v>
      </c>
      <c r="F843" s="39">
        <v>9.3213296000000003</v>
      </c>
      <c r="G843" s="38">
        <v>0</v>
      </c>
      <c r="H843" s="38">
        <v>0.27530876999999998</v>
      </c>
      <c r="I843" s="38">
        <v>1.1705296999999999</v>
      </c>
      <c r="J843" s="38">
        <v>3.7353873000000003E-2</v>
      </c>
      <c r="K843" s="38">
        <v>6.6736979E-3</v>
      </c>
      <c r="L843" s="40">
        <v>10.811195640900001</v>
      </c>
    </row>
    <row r="844" spans="1:12" hidden="1">
      <c r="A844" s="37" t="s">
        <v>1649</v>
      </c>
      <c r="B844" s="37"/>
      <c r="C844" s="37" t="s">
        <v>873</v>
      </c>
      <c r="D844" s="64">
        <v>26008</v>
      </c>
      <c r="E844" s="38">
        <v>3.46</v>
      </c>
      <c r="F844" s="39">
        <v>11.381883999999999</v>
      </c>
      <c r="G844" s="38">
        <v>0</v>
      </c>
      <c r="H844" s="38">
        <v>0.22504651000000001</v>
      </c>
      <c r="I844" s="38">
        <v>1.4292847</v>
      </c>
      <c r="J844" s="38">
        <v>4.5611246000000001E-2</v>
      </c>
      <c r="K844" s="38">
        <v>9.4039550999999999E-2</v>
      </c>
      <c r="L844" s="40">
        <v>13.175866007</v>
      </c>
    </row>
    <row r="845" spans="1:12" hidden="1">
      <c r="A845" s="37" t="s">
        <v>1650</v>
      </c>
      <c r="B845" s="37"/>
      <c r="C845" s="37" t="s">
        <v>873</v>
      </c>
      <c r="D845" s="64">
        <v>26126</v>
      </c>
      <c r="E845" s="38">
        <v>3.46</v>
      </c>
      <c r="F845" s="39">
        <v>11.393656999999999</v>
      </c>
      <c r="G845" s="38">
        <v>1.2618731E-3</v>
      </c>
      <c r="H845" s="38">
        <v>0.22495896000000001</v>
      </c>
      <c r="I845" s="38">
        <v>1.4300246999999999</v>
      </c>
      <c r="J845" s="38">
        <v>4.5611246000000001E-2</v>
      </c>
      <c r="K845" s="38">
        <v>0.11549598</v>
      </c>
      <c r="L845" s="40">
        <v>13.211009759100001</v>
      </c>
    </row>
    <row r="846" spans="1:12" hidden="1">
      <c r="A846" s="37" t="s">
        <v>1651</v>
      </c>
      <c r="B846" s="37"/>
      <c r="C846" s="37" t="s">
        <v>640</v>
      </c>
      <c r="D846" s="64">
        <v>12115</v>
      </c>
      <c r="E846" s="38">
        <v>1.84</v>
      </c>
      <c r="F846" s="39">
        <v>5.2170277</v>
      </c>
      <c r="G846" s="38">
        <v>0.38965334000000001</v>
      </c>
      <c r="H846" s="38">
        <v>0.26233268999999998</v>
      </c>
      <c r="I846" s="38">
        <v>0.21100323000000001</v>
      </c>
      <c r="J846" s="38">
        <v>3.5969872999999999E-2</v>
      </c>
      <c r="K846" s="38">
        <v>6.6736979E-3</v>
      </c>
      <c r="L846" s="40">
        <v>6.1226605309000002</v>
      </c>
    </row>
    <row r="847" spans="1:12" hidden="1">
      <c r="A847" s="37" t="s">
        <v>1652</v>
      </c>
      <c r="B847" s="37"/>
      <c r="C847" s="37" t="s">
        <v>640</v>
      </c>
      <c r="D847" s="64">
        <v>12118</v>
      </c>
      <c r="E847" s="38">
        <v>1.84</v>
      </c>
      <c r="F847" s="39">
        <v>5.2507248000000004</v>
      </c>
      <c r="G847" s="38">
        <v>0.38649824999999999</v>
      </c>
      <c r="H847" s="38">
        <v>0.26233268999999998</v>
      </c>
      <c r="I847" s="38">
        <v>0.21100323000000001</v>
      </c>
      <c r="J847" s="38">
        <v>3.5969872999999999E-2</v>
      </c>
      <c r="K847" s="38">
        <v>6.6736979E-3</v>
      </c>
      <c r="L847" s="40">
        <v>6.1532025409000006</v>
      </c>
    </row>
    <row r="848" spans="1:12" hidden="1">
      <c r="A848" s="37" t="s">
        <v>1653</v>
      </c>
      <c r="B848" s="37"/>
      <c r="C848" s="37" t="s">
        <v>826</v>
      </c>
      <c r="D848" s="64">
        <v>26241</v>
      </c>
      <c r="E848" s="38">
        <v>3.68</v>
      </c>
      <c r="F848" s="39">
        <v>9.3213296000000003</v>
      </c>
      <c r="G848" s="38">
        <v>0</v>
      </c>
      <c r="H848" s="38">
        <v>0.27530876999999998</v>
      </c>
      <c r="I848" s="38">
        <v>1.1705296999999999</v>
      </c>
      <c r="J848" s="38">
        <v>3.7353873000000003E-2</v>
      </c>
      <c r="K848" s="38">
        <v>6.6736979E-3</v>
      </c>
      <c r="L848" s="40">
        <v>10.811195640900001</v>
      </c>
    </row>
    <row r="849" spans="1:12" hidden="1">
      <c r="A849" s="37" t="s">
        <v>1654</v>
      </c>
      <c r="B849" s="37"/>
      <c r="C849" s="37" t="s">
        <v>811</v>
      </c>
      <c r="D849" s="64">
        <v>25073</v>
      </c>
      <c r="E849" s="38">
        <v>1.97</v>
      </c>
      <c r="F849" s="39">
        <v>2.6675548</v>
      </c>
      <c r="G849" s="38">
        <v>0.35567515999999999</v>
      </c>
      <c r="H849" s="38">
        <v>0.30366938999999998</v>
      </c>
      <c r="I849" s="38">
        <v>0.22206724</v>
      </c>
      <c r="J849" s="38">
        <v>3.7768032999999999E-2</v>
      </c>
      <c r="K849" s="38">
        <v>1.7696322E-2</v>
      </c>
      <c r="L849" s="40">
        <v>3.6044309449999998</v>
      </c>
    </row>
    <row r="850" spans="1:12" hidden="1">
      <c r="A850" s="37" t="s">
        <v>1655</v>
      </c>
      <c r="B850" s="37"/>
      <c r="C850" s="37" t="s">
        <v>842</v>
      </c>
      <c r="D850" s="64">
        <v>20026</v>
      </c>
      <c r="E850" s="38">
        <v>2.38</v>
      </c>
      <c r="F850" s="39">
        <v>0.53775346999999996</v>
      </c>
      <c r="G850" s="38">
        <v>0</v>
      </c>
      <c r="H850" s="38">
        <v>0</v>
      </c>
      <c r="I850" s="38">
        <v>0.27356253000000003</v>
      </c>
      <c r="J850" s="38">
        <v>4.6360746000000001E-2</v>
      </c>
      <c r="K850" s="38">
        <v>8.0351048999999994E-2</v>
      </c>
      <c r="L850" s="40">
        <v>0.93802779499999989</v>
      </c>
    </row>
    <row r="851" spans="1:12" hidden="1">
      <c r="A851" s="37" t="s">
        <v>1656</v>
      </c>
      <c r="B851" s="37"/>
      <c r="C851" s="37" t="s">
        <v>668</v>
      </c>
      <c r="D851" s="64">
        <v>23008</v>
      </c>
      <c r="E851" s="38">
        <v>2.59</v>
      </c>
      <c r="F851" s="39">
        <v>3.9840189000000001</v>
      </c>
      <c r="G851" s="38">
        <v>0.29384249000000001</v>
      </c>
      <c r="H851" s="38">
        <v>0.28778566999999999</v>
      </c>
      <c r="I851" s="38">
        <v>0.18600596</v>
      </c>
      <c r="J851" s="38">
        <v>1.9437894000000001E-2</v>
      </c>
      <c r="K851" s="38">
        <v>0</v>
      </c>
      <c r="L851" s="40">
        <v>4.7710909140000002</v>
      </c>
    </row>
    <row r="852" spans="1:12" hidden="1">
      <c r="A852" s="37" t="s">
        <v>1657</v>
      </c>
      <c r="B852" s="37"/>
      <c r="C852" s="37" t="s">
        <v>631</v>
      </c>
      <c r="D852" s="64">
        <v>28911</v>
      </c>
      <c r="E852" s="38">
        <v>2.4500000000000002</v>
      </c>
      <c r="F852" s="39">
        <v>5.7164647999999998</v>
      </c>
      <c r="G852" s="38">
        <v>0.48092800000000002</v>
      </c>
      <c r="H852" s="38">
        <v>0.47814709</v>
      </c>
      <c r="I852" s="38">
        <v>0.20501591</v>
      </c>
      <c r="J852" s="38">
        <v>3.7353873000000003E-2</v>
      </c>
      <c r="K852" s="38">
        <v>6.6736979E-3</v>
      </c>
      <c r="L852" s="40">
        <v>6.9245833708999998</v>
      </c>
    </row>
    <row r="853" spans="1:12" hidden="1">
      <c r="A853" s="37" t="s">
        <v>1658</v>
      </c>
      <c r="B853" s="37"/>
      <c r="C853" s="37" t="s">
        <v>631</v>
      </c>
      <c r="D853" s="64">
        <v>28924</v>
      </c>
      <c r="E853" s="38">
        <v>2.4500000000000002</v>
      </c>
      <c r="F853" s="39">
        <v>5.7164647999999998</v>
      </c>
      <c r="G853" s="38">
        <v>0.48092800000000002</v>
      </c>
      <c r="H853" s="38">
        <v>0.47814709</v>
      </c>
      <c r="I853" s="38">
        <v>0.20501591</v>
      </c>
      <c r="J853" s="38">
        <v>3.7353873000000003E-2</v>
      </c>
      <c r="K853" s="38">
        <v>6.6736979E-3</v>
      </c>
      <c r="L853" s="40">
        <v>6.9245833708999998</v>
      </c>
    </row>
    <row r="854" spans="1:12" hidden="1">
      <c r="A854" s="41" t="s">
        <v>1659</v>
      </c>
      <c r="B854" s="41"/>
      <c r="C854" s="41" t="s">
        <v>816</v>
      </c>
      <c r="D854" s="65">
        <v>9001</v>
      </c>
      <c r="E854" s="42">
        <v>3.6</v>
      </c>
      <c r="F854" s="43">
        <v>0.73765150999999995</v>
      </c>
      <c r="G854" s="42">
        <v>0</v>
      </c>
      <c r="H854" s="42">
        <v>0.26506589000000003</v>
      </c>
      <c r="I854" s="42">
        <v>0.13112868999999999</v>
      </c>
      <c r="J854" s="42">
        <v>1.606076E-2</v>
      </c>
      <c r="K854" s="42">
        <v>0</v>
      </c>
      <c r="L854" s="44">
        <v>1.1499068499999998</v>
      </c>
    </row>
    <row r="855" spans="1:12" hidden="1">
      <c r="A855" s="37" t="s">
        <v>1660</v>
      </c>
      <c r="B855" s="37"/>
      <c r="C855" s="37" t="s">
        <v>826</v>
      </c>
      <c r="D855" s="64">
        <v>26083</v>
      </c>
      <c r="E855" s="38">
        <v>3.68</v>
      </c>
      <c r="F855" s="39">
        <v>0.70785436999999995</v>
      </c>
      <c r="G855" s="38">
        <v>0</v>
      </c>
      <c r="H855" s="38">
        <v>0.27530876999999998</v>
      </c>
      <c r="I855" s="38">
        <v>0.90277483999999997</v>
      </c>
      <c r="J855" s="38">
        <v>3.7353873000000003E-2</v>
      </c>
      <c r="K855" s="38">
        <v>6.6736979E-3</v>
      </c>
      <c r="L855" s="40">
        <v>1.9299655509</v>
      </c>
    </row>
    <row r="856" spans="1:12" hidden="1">
      <c r="A856" s="41" t="s">
        <v>1661</v>
      </c>
      <c r="B856" s="41"/>
      <c r="C856" s="41" t="s">
        <v>842</v>
      </c>
      <c r="D856" s="65">
        <v>20060</v>
      </c>
      <c r="E856" s="42">
        <v>3</v>
      </c>
      <c r="F856" s="43">
        <v>0.10863589999999999</v>
      </c>
      <c r="G856" s="42">
        <v>0.18181143</v>
      </c>
      <c r="H856" s="42">
        <v>0.24540282999999996</v>
      </c>
      <c r="I856" s="42">
        <v>0.30344411999999998</v>
      </c>
      <c r="J856" s="42">
        <v>2.2610621000000001E-2</v>
      </c>
      <c r="K856" s="42">
        <v>1.1022624E-2</v>
      </c>
      <c r="L856" s="44">
        <v>0.87292752499999993</v>
      </c>
    </row>
    <row r="857" spans="1:12" hidden="1">
      <c r="A857" s="41" t="s">
        <v>1662</v>
      </c>
      <c r="B857" s="41"/>
      <c r="C857" s="41" t="s">
        <v>842</v>
      </c>
      <c r="D857" s="65">
        <v>20059</v>
      </c>
      <c r="E857" s="42">
        <v>2.38</v>
      </c>
      <c r="F857" s="43">
        <v>0.11750866</v>
      </c>
      <c r="G857" s="42">
        <v>0</v>
      </c>
      <c r="H857" s="42">
        <v>0</v>
      </c>
      <c r="I857" s="42">
        <v>0.22561858000000001</v>
      </c>
      <c r="J857" s="42">
        <v>3.8235667000000001E-2</v>
      </c>
      <c r="K857" s="42">
        <v>9.9362450999999994E-3</v>
      </c>
      <c r="L857" s="44">
        <v>0.39129915209999999</v>
      </c>
    </row>
    <row r="858" spans="1:12" hidden="1">
      <c r="A858" s="41" t="s">
        <v>1663</v>
      </c>
      <c r="B858" s="41"/>
      <c r="C858" s="41" t="s">
        <v>842</v>
      </c>
      <c r="D858" s="65">
        <v>20027</v>
      </c>
      <c r="E858" s="42">
        <v>2.89</v>
      </c>
      <c r="F858" s="43">
        <v>0.13726516</v>
      </c>
      <c r="G858" s="42">
        <v>0</v>
      </c>
      <c r="H858" s="42">
        <v>0.23106910999999999</v>
      </c>
      <c r="I858" s="42">
        <v>0.27509253</v>
      </c>
      <c r="J858" s="42">
        <v>4.4664153999999998E-2</v>
      </c>
      <c r="K858" s="42">
        <v>0.11559308</v>
      </c>
      <c r="L858" s="44">
        <v>0.80368403399999999</v>
      </c>
    </row>
    <row r="859" spans="1:12" hidden="1">
      <c r="A859" s="41" t="s">
        <v>1664</v>
      </c>
      <c r="B859" s="41"/>
      <c r="C859" s="41" t="s">
        <v>842</v>
      </c>
      <c r="D859" s="65">
        <v>20270</v>
      </c>
      <c r="E859" s="42">
        <v>2.5099999999999998</v>
      </c>
      <c r="F859" s="43">
        <v>0.11750866</v>
      </c>
      <c r="G859" s="42">
        <v>0</v>
      </c>
      <c r="H859" s="42">
        <v>0</v>
      </c>
      <c r="I859" s="42">
        <v>0.22561858000000001</v>
      </c>
      <c r="J859" s="42">
        <v>3.8235667000000001E-2</v>
      </c>
      <c r="K859" s="42">
        <v>9.9362450999999994E-3</v>
      </c>
      <c r="L859" s="44">
        <v>0.39129915209999999</v>
      </c>
    </row>
    <row r="860" spans="1:12" hidden="1">
      <c r="A860" s="41" t="s">
        <v>1665</v>
      </c>
      <c r="B860" s="41"/>
      <c r="C860" s="41" t="s">
        <v>842</v>
      </c>
      <c r="D860" s="65">
        <v>20285</v>
      </c>
      <c r="E860" s="42">
        <v>2.89</v>
      </c>
      <c r="F860" s="43">
        <v>0.13726516</v>
      </c>
      <c r="G860" s="42">
        <v>0</v>
      </c>
      <c r="H860" s="42">
        <v>0.23106910999999999</v>
      </c>
      <c r="I860" s="42">
        <v>0.27509253</v>
      </c>
      <c r="J860" s="42">
        <v>4.4698069999999999E-2</v>
      </c>
      <c r="K860" s="42">
        <v>3.0676498999999999E-2</v>
      </c>
      <c r="L860" s="44">
        <v>0.71880136900000002</v>
      </c>
    </row>
    <row r="861" spans="1:12" hidden="1">
      <c r="A861" s="41" t="s">
        <v>1666</v>
      </c>
      <c r="B861" s="41"/>
      <c r="C861" s="41" t="s">
        <v>842</v>
      </c>
      <c r="D861" s="65">
        <v>20083</v>
      </c>
      <c r="E861" s="42">
        <v>2.9</v>
      </c>
      <c r="F861" s="43">
        <v>0.10619091999999999</v>
      </c>
      <c r="G861" s="42">
        <v>7.8414561999999993E-2</v>
      </c>
      <c r="H861" s="42">
        <v>0.26232822</v>
      </c>
      <c r="I861" s="42">
        <v>0.21181711</v>
      </c>
      <c r="J861" s="42">
        <v>6.8654974999999993E-2</v>
      </c>
      <c r="K861" s="42">
        <v>2.5251829999999999E-2</v>
      </c>
      <c r="L861" s="44">
        <v>0.75265761699999989</v>
      </c>
    </row>
    <row r="862" spans="1:12" hidden="1">
      <c r="A862" s="41" t="s">
        <v>1667</v>
      </c>
      <c r="B862" s="41"/>
      <c r="C862" s="41" t="s">
        <v>842</v>
      </c>
      <c r="D862" s="65">
        <v>20121</v>
      </c>
      <c r="E862" s="42">
        <v>3.09</v>
      </c>
      <c r="F862" s="43">
        <v>0.12404459</v>
      </c>
      <c r="G862" s="42">
        <v>9.1598247999999993E-2</v>
      </c>
      <c r="H862" s="42">
        <v>0.30643294999999998</v>
      </c>
      <c r="I862" s="42">
        <v>0.24742950999999999</v>
      </c>
      <c r="J862" s="42">
        <v>8.01978E-2</v>
      </c>
      <c r="K862" s="42">
        <v>0.1240069</v>
      </c>
      <c r="L862" s="44">
        <v>0.97370999800000002</v>
      </c>
    </row>
    <row r="863" spans="1:12" hidden="1">
      <c r="A863" s="41" t="s">
        <v>1668</v>
      </c>
      <c r="B863" s="41"/>
      <c r="C863" s="41" t="s">
        <v>811</v>
      </c>
      <c r="D863" s="65">
        <v>25026</v>
      </c>
      <c r="E863" s="42">
        <v>2.25</v>
      </c>
      <c r="F863" s="43">
        <v>1.3554185999999999</v>
      </c>
      <c r="G863" s="42">
        <v>0.17101532</v>
      </c>
      <c r="H863" s="42">
        <v>0.18549789</v>
      </c>
      <c r="I863" s="42">
        <v>0.22371361000000001</v>
      </c>
      <c r="J863" s="42">
        <v>3.7768032999999999E-2</v>
      </c>
      <c r="K863" s="42">
        <v>1.7696322E-2</v>
      </c>
      <c r="L863" s="44">
        <v>1.9911097749999997</v>
      </c>
    </row>
    <row r="864" spans="1:12" hidden="1">
      <c r="A864" s="37" t="s">
        <v>1669</v>
      </c>
      <c r="B864" s="37"/>
      <c r="C864" s="37" t="s">
        <v>640</v>
      </c>
      <c r="D864" s="64">
        <v>12038</v>
      </c>
      <c r="E864" s="38">
        <v>2.2400000000000002</v>
      </c>
      <c r="F864" s="39">
        <v>4.2004026999999997</v>
      </c>
      <c r="G864" s="38">
        <v>0.27363781999999998</v>
      </c>
      <c r="H864" s="38">
        <v>0.26233268999999998</v>
      </c>
      <c r="I864" s="38">
        <v>0.21100323000000001</v>
      </c>
      <c r="J864" s="38">
        <v>3.5969872999999999E-2</v>
      </c>
      <c r="K864" s="38">
        <v>6.6736979E-3</v>
      </c>
      <c r="L864" s="40">
        <v>4.9900200109000004</v>
      </c>
    </row>
    <row r="865" spans="1:12" hidden="1">
      <c r="A865" s="41" t="s">
        <v>1670</v>
      </c>
      <c r="B865" s="41"/>
      <c r="C865" s="41" t="s">
        <v>1115</v>
      </c>
      <c r="D865" s="65" t="s">
        <v>1671</v>
      </c>
      <c r="E865" s="42">
        <v>1.9639514706612098</v>
      </c>
      <c r="F865" s="43">
        <v>0.37930749000000002</v>
      </c>
      <c r="G865" s="42">
        <v>0.90288933999999998</v>
      </c>
      <c r="H865" s="42">
        <v>0.24438428000000001</v>
      </c>
      <c r="I865" s="42">
        <v>0.24118634</v>
      </c>
      <c r="J865" s="42">
        <v>0</v>
      </c>
      <c r="K865" s="42">
        <v>8.8930261999999996E-2</v>
      </c>
      <c r="L865" s="44">
        <v>1.8566977120000001</v>
      </c>
    </row>
    <row r="866" spans="1:12" hidden="1">
      <c r="A866" s="41" t="s">
        <v>1672</v>
      </c>
      <c r="B866" s="41"/>
      <c r="C866" s="41" t="s">
        <v>782</v>
      </c>
      <c r="D866" s="65">
        <v>10042</v>
      </c>
      <c r="E866" s="42">
        <v>1.91</v>
      </c>
      <c r="F866" s="43">
        <v>3.6096805000000001</v>
      </c>
      <c r="G866" s="42">
        <v>0.53581710999999999</v>
      </c>
      <c r="H866" s="42">
        <v>0.41771306000000002</v>
      </c>
      <c r="I866" s="42">
        <v>0.32855881999999997</v>
      </c>
      <c r="J866" s="42">
        <v>9.7357424999999997E-2</v>
      </c>
      <c r="K866" s="42">
        <v>0.28188343999999999</v>
      </c>
      <c r="L866" s="44">
        <v>5.2710103549999987</v>
      </c>
    </row>
    <row r="867" spans="1:12" hidden="1">
      <c r="A867" s="41" t="s">
        <v>1673</v>
      </c>
      <c r="B867" s="41"/>
      <c r="C867" s="41" t="s">
        <v>826</v>
      </c>
      <c r="D867" s="65">
        <v>26082</v>
      </c>
      <c r="E867" s="42">
        <v>3.64</v>
      </c>
      <c r="F867" s="43">
        <v>3.1312416999999999</v>
      </c>
      <c r="G867" s="42">
        <v>0</v>
      </c>
      <c r="H867" s="42">
        <v>0.27530876999999998</v>
      </c>
      <c r="I867" s="42">
        <v>0.78496268999999996</v>
      </c>
      <c r="J867" s="42">
        <v>3.7353873000000003E-2</v>
      </c>
      <c r="K867" s="42">
        <v>6.6736979E-3</v>
      </c>
      <c r="L867" s="44">
        <v>4.2355407308999995</v>
      </c>
    </row>
    <row r="868" spans="1:12" hidden="1">
      <c r="A868" s="41" t="s">
        <v>1674</v>
      </c>
      <c r="B868" s="41"/>
      <c r="C868" s="41" t="s">
        <v>873</v>
      </c>
      <c r="D868" s="65">
        <v>26093</v>
      </c>
      <c r="E868" s="42">
        <v>3.52</v>
      </c>
      <c r="F868" s="43">
        <v>3.8234276999999999</v>
      </c>
      <c r="G868" s="42">
        <v>0</v>
      </c>
      <c r="H868" s="42">
        <v>0.22504651000000001</v>
      </c>
      <c r="I868" s="42">
        <v>0.95848498999999998</v>
      </c>
      <c r="J868" s="42">
        <v>4.5611246000000001E-2</v>
      </c>
      <c r="K868" s="42">
        <v>9.4039550999999999E-2</v>
      </c>
      <c r="L868" s="44">
        <v>5.1466099969999997</v>
      </c>
    </row>
    <row r="869" spans="1:12" hidden="1">
      <c r="A869" s="41" t="s">
        <v>1675</v>
      </c>
      <c r="B869" s="41"/>
      <c r="C869" s="41" t="s">
        <v>807</v>
      </c>
      <c r="D869" s="65">
        <v>11092</v>
      </c>
      <c r="E869" s="42">
        <v>3.75</v>
      </c>
      <c r="F869" s="43">
        <v>0.19524258</v>
      </c>
      <c r="G869" s="42">
        <v>0</v>
      </c>
      <c r="H869" s="42">
        <v>0.30212257999999997</v>
      </c>
      <c r="I869" s="42">
        <v>0.1430929</v>
      </c>
      <c r="J869" s="42">
        <v>1.7243568000000001E-2</v>
      </c>
      <c r="K869" s="42">
        <v>3.2140419000000003E-2</v>
      </c>
      <c r="L869" s="44">
        <v>0.68984204699999996</v>
      </c>
    </row>
    <row r="870" spans="1:12" hidden="1">
      <c r="A870" s="37" t="s">
        <v>1676</v>
      </c>
      <c r="B870" s="37"/>
      <c r="C870" s="37" t="s">
        <v>786</v>
      </c>
      <c r="D870" s="64">
        <v>36402</v>
      </c>
      <c r="E870" s="38">
        <v>3.1</v>
      </c>
      <c r="F870" s="39">
        <v>6.8523363000000002</v>
      </c>
      <c r="G870" s="38">
        <v>1.3618992999999999</v>
      </c>
      <c r="H870" s="38">
        <v>0</v>
      </c>
      <c r="I870" s="38">
        <v>0.36961707999999999</v>
      </c>
      <c r="J870" s="38">
        <v>6.1814583999999999E-2</v>
      </c>
      <c r="K870" s="38">
        <v>0.20330878999999999</v>
      </c>
      <c r="L870" s="40">
        <v>8.8489760539999995</v>
      </c>
    </row>
    <row r="871" spans="1:12" hidden="1">
      <c r="A871" s="37" t="s">
        <v>1677</v>
      </c>
      <c r="B871" s="37"/>
      <c r="C871" s="37" t="s">
        <v>1085</v>
      </c>
      <c r="D871" s="64">
        <v>19641</v>
      </c>
      <c r="E871" s="38">
        <v>1.81</v>
      </c>
      <c r="F871" s="39">
        <v>4.3881167999999997</v>
      </c>
      <c r="G871" s="38">
        <v>0.26335405000000001</v>
      </c>
      <c r="H871" s="38">
        <v>0.18031662000000001</v>
      </c>
      <c r="I871" s="38">
        <v>0.21100323000000001</v>
      </c>
      <c r="J871" s="38">
        <v>3.5969872999999999E-2</v>
      </c>
      <c r="K871" s="38">
        <v>6.6736979E-3</v>
      </c>
      <c r="L871" s="40">
        <v>5.0854342709000004</v>
      </c>
    </row>
    <row r="872" spans="1:12" hidden="1">
      <c r="A872" s="37" t="s">
        <v>1678</v>
      </c>
      <c r="B872" s="37"/>
      <c r="C872" s="37" t="s">
        <v>644</v>
      </c>
      <c r="D872" s="64">
        <v>25460</v>
      </c>
      <c r="E872" s="38">
        <v>2.08</v>
      </c>
      <c r="F872" s="39">
        <v>1.4158512999999999</v>
      </c>
      <c r="G872" s="38">
        <v>0.49825744</v>
      </c>
      <c r="H872" s="38">
        <v>0.10407859999999999</v>
      </c>
      <c r="I872" s="38">
        <v>0.26457620999999998</v>
      </c>
      <c r="J872" s="38">
        <v>3.7768032999999999E-2</v>
      </c>
      <c r="K872" s="38">
        <v>9.2564276000000001E-2</v>
      </c>
      <c r="L872" s="40">
        <v>2.4130958589999998</v>
      </c>
    </row>
    <row r="873" spans="1:12" hidden="1">
      <c r="A873" s="37" t="s">
        <v>1679</v>
      </c>
      <c r="B873" s="37"/>
      <c r="C873" s="37" t="s">
        <v>811</v>
      </c>
      <c r="D873" s="64">
        <v>25571</v>
      </c>
      <c r="E873" s="38">
        <v>2.4500000000000002</v>
      </c>
      <c r="F873" s="39">
        <v>0.19411668000000001</v>
      </c>
      <c r="G873" s="38">
        <v>0.15508667000000001</v>
      </c>
      <c r="H873" s="38">
        <v>0.18550417</v>
      </c>
      <c r="I873" s="38">
        <v>0.24560520999999999</v>
      </c>
      <c r="J873" s="38">
        <v>3.7768032999999999E-2</v>
      </c>
      <c r="K873" s="38">
        <v>1.7696322E-2</v>
      </c>
      <c r="L873" s="40">
        <v>0.83577708500000003</v>
      </c>
    </row>
    <row r="874" spans="1:12" hidden="1">
      <c r="A874" s="37" t="s">
        <v>1680</v>
      </c>
      <c r="B874" s="37"/>
      <c r="C874" s="37" t="s">
        <v>668</v>
      </c>
      <c r="D874" s="64">
        <v>23121</v>
      </c>
      <c r="E874" s="38">
        <v>2.36</v>
      </c>
      <c r="F874" s="39">
        <v>1.3807437</v>
      </c>
      <c r="G874" s="38">
        <v>0.18531233999999999</v>
      </c>
      <c r="H874" s="38">
        <v>0.28780147</v>
      </c>
      <c r="I874" s="38">
        <v>0.13101879</v>
      </c>
      <c r="J874" s="38">
        <v>1.9437894000000001E-2</v>
      </c>
      <c r="K874" s="38">
        <v>0</v>
      </c>
      <c r="L874" s="40">
        <v>2.004314194</v>
      </c>
    </row>
    <row r="875" spans="1:12" hidden="1">
      <c r="A875" s="41" t="s">
        <v>1681</v>
      </c>
      <c r="B875" s="41"/>
      <c r="C875" s="41" t="s">
        <v>818</v>
      </c>
      <c r="D875" s="65">
        <v>9437</v>
      </c>
      <c r="E875" s="42">
        <v>2.57</v>
      </c>
      <c r="F875" s="43">
        <v>0.55061813000000004</v>
      </c>
      <c r="G875" s="42">
        <v>3.5710111000000003E-2</v>
      </c>
      <c r="H875" s="42">
        <v>6.3034535999999999E-3</v>
      </c>
      <c r="I875" s="42">
        <v>9.9389861999999995E-2</v>
      </c>
      <c r="J875" s="42">
        <v>2.6758056999999998E-2</v>
      </c>
      <c r="K875" s="42">
        <v>0</v>
      </c>
      <c r="L875" s="44">
        <v>0.71877961359999998</v>
      </c>
    </row>
    <row r="876" spans="1:12" hidden="1">
      <c r="A876" s="41" t="s">
        <v>1682</v>
      </c>
      <c r="B876" s="41"/>
      <c r="C876" s="41" t="s">
        <v>818</v>
      </c>
      <c r="D876" s="65">
        <v>9410</v>
      </c>
      <c r="E876" s="42">
        <v>2.57</v>
      </c>
      <c r="F876" s="43">
        <v>0.55061813000000004</v>
      </c>
      <c r="G876" s="42">
        <v>3.5710111000000003E-2</v>
      </c>
      <c r="H876" s="42">
        <v>6.2579011000000002E-3</v>
      </c>
      <c r="I876" s="42">
        <v>9.9325266999999995E-2</v>
      </c>
      <c r="J876" s="42">
        <v>2.6758056999999998E-2</v>
      </c>
      <c r="K876" s="42">
        <v>0</v>
      </c>
      <c r="L876" s="44">
        <v>0.71866946610000004</v>
      </c>
    </row>
    <row r="877" spans="1:12" hidden="1">
      <c r="A877" s="41" t="s">
        <v>1683</v>
      </c>
      <c r="B877" s="41"/>
      <c r="C877" s="41" t="s">
        <v>818</v>
      </c>
      <c r="D877" s="65">
        <v>9415</v>
      </c>
      <c r="E877" s="42">
        <v>2.57</v>
      </c>
      <c r="F877" s="43">
        <v>0.55061813000000004</v>
      </c>
      <c r="G877" s="42">
        <v>3.5710111000000003E-2</v>
      </c>
      <c r="H877" s="42">
        <v>6.3034535999999999E-3</v>
      </c>
      <c r="I877" s="42">
        <v>9.9389861999999995E-2</v>
      </c>
      <c r="J877" s="42">
        <v>2.6758056999999998E-2</v>
      </c>
      <c r="K877" s="42">
        <v>0</v>
      </c>
      <c r="L877" s="44">
        <v>0.71877961359999998</v>
      </c>
    </row>
    <row r="878" spans="1:12" hidden="1">
      <c r="A878" s="41" t="s">
        <v>1684</v>
      </c>
      <c r="B878" s="41"/>
      <c r="C878" s="41" t="s">
        <v>818</v>
      </c>
      <c r="D878" s="65">
        <v>9440</v>
      </c>
      <c r="E878" s="42">
        <v>2.57</v>
      </c>
      <c r="F878" s="43">
        <v>0.55061813000000004</v>
      </c>
      <c r="G878" s="42">
        <v>3.5710111000000003E-2</v>
      </c>
      <c r="H878" s="42">
        <v>6.3034535999999999E-3</v>
      </c>
      <c r="I878" s="42">
        <v>9.9389861999999995E-2</v>
      </c>
      <c r="J878" s="42">
        <v>2.6758056999999998E-2</v>
      </c>
      <c r="K878" s="42">
        <v>0</v>
      </c>
      <c r="L878" s="44">
        <v>0.71877961359999998</v>
      </c>
    </row>
    <row r="879" spans="1:12" hidden="1">
      <c r="A879" s="41" t="s">
        <v>1685</v>
      </c>
      <c r="B879" s="41"/>
      <c r="C879" s="41" t="s">
        <v>818</v>
      </c>
      <c r="D879" s="65">
        <v>9436</v>
      </c>
      <c r="E879" s="42">
        <v>2.57</v>
      </c>
      <c r="F879" s="43">
        <v>0.55061813000000004</v>
      </c>
      <c r="G879" s="42">
        <v>3.5710111000000003E-2</v>
      </c>
      <c r="H879" s="42">
        <v>6.3034535999999999E-3</v>
      </c>
      <c r="I879" s="42">
        <v>9.9389861999999995E-2</v>
      </c>
      <c r="J879" s="42">
        <v>2.6758056999999998E-2</v>
      </c>
      <c r="K879" s="42">
        <v>0</v>
      </c>
      <c r="L879" s="44">
        <v>0.71877961359999998</v>
      </c>
    </row>
    <row r="880" spans="1:12" hidden="1">
      <c r="A880" s="41" t="s">
        <v>1686</v>
      </c>
      <c r="B880" s="41"/>
      <c r="C880" s="41" t="s">
        <v>818</v>
      </c>
      <c r="D880" s="65">
        <v>9435</v>
      </c>
      <c r="E880" s="42">
        <v>2.57</v>
      </c>
      <c r="F880" s="43">
        <v>0.55061813000000004</v>
      </c>
      <c r="G880" s="42">
        <v>3.5710111000000003E-2</v>
      </c>
      <c r="H880" s="42">
        <v>6.3034535999999999E-3</v>
      </c>
      <c r="I880" s="42">
        <v>9.9389861999999995E-2</v>
      </c>
      <c r="J880" s="42">
        <v>2.6758056999999998E-2</v>
      </c>
      <c r="K880" s="42">
        <v>0</v>
      </c>
      <c r="L880" s="44">
        <v>0.71877961359999998</v>
      </c>
    </row>
    <row r="881" spans="1:12" hidden="1">
      <c r="A881" s="41" t="s">
        <v>1687</v>
      </c>
      <c r="B881" s="41"/>
      <c r="C881" s="41" t="s">
        <v>818</v>
      </c>
      <c r="D881" s="65">
        <v>9445</v>
      </c>
      <c r="E881" s="42">
        <v>2.57</v>
      </c>
      <c r="F881" s="43">
        <v>0.55061813000000004</v>
      </c>
      <c r="G881" s="42">
        <v>3.5710111000000003E-2</v>
      </c>
      <c r="H881" s="42">
        <v>6.6386965999999997E-3</v>
      </c>
      <c r="I881" s="42">
        <v>9.9389861999999995E-2</v>
      </c>
      <c r="J881" s="42">
        <v>2.6758056999999998E-2</v>
      </c>
      <c r="K881" s="42">
        <v>0</v>
      </c>
      <c r="L881" s="44">
        <v>0.71911485660000007</v>
      </c>
    </row>
    <row r="882" spans="1:12" hidden="1">
      <c r="A882" s="37" t="s">
        <v>1688</v>
      </c>
      <c r="B882" s="37"/>
      <c r="C882" s="37" t="s">
        <v>637</v>
      </c>
      <c r="D882" s="64">
        <v>9570</v>
      </c>
      <c r="E882" s="38">
        <v>3.53</v>
      </c>
      <c r="F882" s="39">
        <v>1.9884564</v>
      </c>
      <c r="G882" s="38">
        <v>3.4111427E-2</v>
      </c>
      <c r="H882" s="38">
        <v>0.26506589000000003</v>
      </c>
      <c r="I882" s="38">
        <v>0.25146332999999998</v>
      </c>
      <c r="J882" s="38">
        <v>2.2656431000000001E-2</v>
      </c>
      <c r="K882" s="38">
        <v>0</v>
      </c>
      <c r="L882" s="40">
        <v>2.5617534780000004</v>
      </c>
    </row>
    <row r="883" spans="1:12" hidden="1">
      <c r="A883" s="37" t="s">
        <v>1689</v>
      </c>
      <c r="B883" s="37"/>
      <c r="C883" s="37" t="s">
        <v>818</v>
      </c>
      <c r="D883" s="64">
        <v>9545</v>
      </c>
      <c r="E883" s="38">
        <v>3.01</v>
      </c>
      <c r="F883" s="39">
        <v>0.46963061</v>
      </c>
      <c r="G883" s="38">
        <v>8.4871676999999993E-3</v>
      </c>
      <c r="H883" s="38">
        <v>6.1109615000000004E-3</v>
      </c>
      <c r="I883" s="38">
        <v>0.23255302999999999</v>
      </c>
      <c r="J883" s="38">
        <v>2.6758056999999998E-2</v>
      </c>
      <c r="K883" s="38">
        <v>0</v>
      </c>
      <c r="L883" s="40">
        <v>0.74353982620000003</v>
      </c>
    </row>
    <row r="884" spans="1:12" hidden="1">
      <c r="A884" s="37" t="s">
        <v>1690</v>
      </c>
      <c r="B884" s="37"/>
      <c r="C884" s="37" t="s">
        <v>818</v>
      </c>
      <c r="D884" s="64">
        <v>9555</v>
      </c>
      <c r="E884" s="38">
        <v>3.15</v>
      </c>
      <c r="F884" s="39">
        <v>0.55004090999999999</v>
      </c>
      <c r="G884" s="38">
        <v>8.4871676999999993E-3</v>
      </c>
      <c r="H884" s="38">
        <v>6.1109615000000004E-3</v>
      </c>
      <c r="I884" s="38">
        <v>0.23255302999999999</v>
      </c>
      <c r="J884" s="38">
        <v>2.6758056999999998E-2</v>
      </c>
      <c r="K884" s="38">
        <v>0</v>
      </c>
      <c r="L884" s="40">
        <v>0.82395012620000008</v>
      </c>
    </row>
    <row r="885" spans="1:12" hidden="1">
      <c r="A885" s="37" t="s">
        <v>1691</v>
      </c>
      <c r="B885" s="37"/>
      <c r="C885" s="37" t="s">
        <v>818</v>
      </c>
      <c r="D885" s="64">
        <v>9580</v>
      </c>
      <c r="E885" s="38">
        <v>3.73</v>
      </c>
      <c r="F885" s="39">
        <v>0.46602274999999999</v>
      </c>
      <c r="G885" s="38">
        <v>8.4871676999999993E-3</v>
      </c>
      <c r="H885" s="38">
        <v>6.1109615000000004E-3</v>
      </c>
      <c r="I885" s="38">
        <v>0.39374903</v>
      </c>
      <c r="J885" s="38">
        <v>2.6758056999999998E-2</v>
      </c>
      <c r="K885" s="38">
        <v>0</v>
      </c>
      <c r="L885" s="40">
        <v>0.90112796620000002</v>
      </c>
    </row>
    <row r="886" spans="1:12" hidden="1">
      <c r="A886" s="41" t="s">
        <v>1692</v>
      </c>
      <c r="B886" s="41"/>
      <c r="C886" s="41" t="s">
        <v>818</v>
      </c>
      <c r="D886" s="65">
        <v>9520</v>
      </c>
      <c r="E886" s="42">
        <v>3.15</v>
      </c>
      <c r="F886" s="43">
        <v>2.5674781000000002</v>
      </c>
      <c r="G886" s="42">
        <v>8.4871676999999993E-3</v>
      </c>
      <c r="H886" s="42">
        <v>6.1109615000000004E-3</v>
      </c>
      <c r="I886" s="42">
        <v>0.45074172000000001</v>
      </c>
      <c r="J886" s="42">
        <v>2.6758056999999998E-2</v>
      </c>
      <c r="K886" s="42">
        <v>0</v>
      </c>
      <c r="L886" s="44">
        <v>3.0595760061999999</v>
      </c>
    </row>
    <row r="887" spans="1:12" hidden="1">
      <c r="A887" s="37" t="s">
        <v>1693</v>
      </c>
      <c r="B887" s="37"/>
      <c r="C887" s="37" t="s">
        <v>818</v>
      </c>
      <c r="D887" s="64">
        <v>9540</v>
      </c>
      <c r="E887" s="38">
        <v>3.15</v>
      </c>
      <c r="F887" s="39">
        <v>0.87839422</v>
      </c>
      <c r="G887" s="38">
        <v>8.4871676999999993E-3</v>
      </c>
      <c r="H887" s="38">
        <v>6.1109615000000004E-3</v>
      </c>
      <c r="I887" s="38">
        <v>0.23255302999999999</v>
      </c>
      <c r="J887" s="38">
        <v>2.6758056999999998E-2</v>
      </c>
      <c r="K887" s="38">
        <v>0</v>
      </c>
      <c r="L887" s="40">
        <v>1.1523034362</v>
      </c>
    </row>
    <row r="888" spans="1:12" hidden="1">
      <c r="A888" s="41" t="s">
        <v>1694</v>
      </c>
      <c r="B888" s="41"/>
      <c r="C888" s="41" t="s">
        <v>818</v>
      </c>
      <c r="D888" s="65">
        <v>9533</v>
      </c>
      <c r="E888" s="42">
        <v>3.3</v>
      </c>
      <c r="F888" s="43">
        <v>0.37079258999999998</v>
      </c>
      <c r="G888" s="42">
        <v>8.4871676999999993E-3</v>
      </c>
      <c r="H888" s="42">
        <v>6.1109615000000004E-3</v>
      </c>
      <c r="I888" s="42">
        <v>0.23255302999999999</v>
      </c>
      <c r="J888" s="42">
        <v>2.6758056999999998E-2</v>
      </c>
      <c r="K888" s="42">
        <v>0</v>
      </c>
      <c r="L888" s="44">
        <v>0.64470180619999995</v>
      </c>
    </row>
    <row r="889" spans="1:12" hidden="1">
      <c r="A889" s="41" t="s">
        <v>1695</v>
      </c>
      <c r="B889" s="41"/>
      <c r="C889" s="41" t="s">
        <v>818</v>
      </c>
      <c r="D889" s="65">
        <v>9530</v>
      </c>
      <c r="E889" s="42">
        <v>3.3</v>
      </c>
      <c r="F889" s="43">
        <v>0.37079258999999998</v>
      </c>
      <c r="G889" s="42">
        <v>8.4871676999999993E-3</v>
      </c>
      <c r="H889" s="42">
        <v>6.1109615000000004E-3</v>
      </c>
      <c r="I889" s="42">
        <v>0.23255302999999999</v>
      </c>
      <c r="J889" s="42">
        <v>2.6758056999999998E-2</v>
      </c>
      <c r="K889" s="42">
        <v>0</v>
      </c>
      <c r="L889" s="44">
        <v>0.64470180619999995</v>
      </c>
    </row>
    <row r="890" spans="1:12" hidden="1">
      <c r="A890" s="41" t="s">
        <v>1696</v>
      </c>
      <c r="B890" s="41"/>
      <c r="C890" s="41" t="s">
        <v>818</v>
      </c>
      <c r="D890" s="65">
        <v>9532</v>
      </c>
      <c r="E890" s="42">
        <v>3.3</v>
      </c>
      <c r="F890" s="43">
        <v>0.37079258999999998</v>
      </c>
      <c r="G890" s="42">
        <v>8.4871676999999993E-3</v>
      </c>
      <c r="H890" s="42">
        <v>6.1109615000000004E-3</v>
      </c>
      <c r="I890" s="42">
        <v>0.23255302999999999</v>
      </c>
      <c r="J890" s="42">
        <v>2.6758056999999998E-2</v>
      </c>
      <c r="K890" s="42">
        <v>0</v>
      </c>
      <c r="L890" s="44">
        <v>0.64470180619999995</v>
      </c>
    </row>
    <row r="891" spans="1:12" hidden="1">
      <c r="A891" s="41" t="s">
        <v>1697</v>
      </c>
      <c r="B891" s="41"/>
      <c r="C891" s="41" t="s">
        <v>818</v>
      </c>
      <c r="D891" s="65">
        <v>20900</v>
      </c>
      <c r="E891" s="42">
        <v>3.15</v>
      </c>
      <c r="F891" s="43">
        <v>1.2092579999999999</v>
      </c>
      <c r="G891" s="42">
        <v>1.7446961E-2</v>
      </c>
      <c r="H891" s="42">
        <v>6.1109615000000004E-3</v>
      </c>
      <c r="I891" s="42">
        <v>0.37302438999999998</v>
      </c>
      <c r="J891" s="42">
        <v>2.6758056999999998E-2</v>
      </c>
      <c r="K891" s="42">
        <v>0</v>
      </c>
      <c r="L891" s="44">
        <v>1.6325983694999997</v>
      </c>
    </row>
    <row r="892" spans="1:12" hidden="1">
      <c r="A892" s="41" t="s">
        <v>1698</v>
      </c>
      <c r="B892" s="41"/>
      <c r="C892" s="41" t="s">
        <v>818</v>
      </c>
      <c r="D892" s="65">
        <v>9480</v>
      </c>
      <c r="E892" s="42">
        <v>3.73</v>
      </c>
      <c r="F892" s="43">
        <v>0.87839422</v>
      </c>
      <c r="G892" s="42">
        <v>8.4871676999999993E-3</v>
      </c>
      <c r="H892" s="42">
        <v>6.1109615000000004E-3</v>
      </c>
      <c r="I892" s="42">
        <v>0.23255302999999999</v>
      </c>
      <c r="J892" s="42">
        <v>2.6758056999999998E-2</v>
      </c>
      <c r="K892" s="42">
        <v>0</v>
      </c>
      <c r="L892" s="44">
        <v>1.1523034362</v>
      </c>
    </row>
    <row r="893" spans="1:12" hidden="1">
      <c r="A893" s="37" t="s">
        <v>1699</v>
      </c>
      <c r="B893" s="37"/>
      <c r="C893" s="37" t="s">
        <v>818</v>
      </c>
      <c r="D893" s="64">
        <v>9550</v>
      </c>
      <c r="E893" s="38">
        <v>2.4300000000000002</v>
      </c>
      <c r="F893" s="39">
        <v>0.46236651000000001</v>
      </c>
      <c r="G893" s="38">
        <v>8.4871676999999993E-3</v>
      </c>
      <c r="H893" s="38">
        <v>6.1109615000000004E-3</v>
      </c>
      <c r="I893" s="38">
        <v>0.21606939</v>
      </c>
      <c r="J893" s="38">
        <v>2.6758056999999998E-2</v>
      </c>
      <c r="K893" s="38">
        <v>0</v>
      </c>
      <c r="L893" s="40">
        <v>0.71979208620000001</v>
      </c>
    </row>
    <row r="894" spans="1:12" hidden="1">
      <c r="A894" s="37" t="s">
        <v>1700</v>
      </c>
      <c r="B894" s="37"/>
      <c r="C894" s="37" t="s">
        <v>842</v>
      </c>
      <c r="D894" s="64">
        <v>20118</v>
      </c>
      <c r="E894" s="38">
        <v>2.77</v>
      </c>
      <c r="F894" s="39">
        <v>0.57003928000000004</v>
      </c>
      <c r="G894" s="38">
        <v>0</v>
      </c>
      <c r="H894" s="38">
        <v>0.28002042999999999</v>
      </c>
      <c r="I894" s="38">
        <v>0.45321372999999998</v>
      </c>
      <c r="J894" s="38">
        <v>2.1237259000000001E-2</v>
      </c>
      <c r="K894" s="38">
        <v>0.19993026999999999</v>
      </c>
      <c r="L894" s="40">
        <v>1.524440969</v>
      </c>
    </row>
    <row r="895" spans="1:12" hidden="1">
      <c r="A895" s="37" t="s">
        <v>1701</v>
      </c>
      <c r="B895" s="37"/>
      <c r="C895" s="37" t="s">
        <v>842</v>
      </c>
      <c r="D895" s="64">
        <v>20028</v>
      </c>
      <c r="E895" s="38">
        <v>2.4300000000000002</v>
      </c>
      <c r="F895" s="39">
        <v>0.48799384000000001</v>
      </c>
      <c r="G895" s="38">
        <v>0</v>
      </c>
      <c r="H895" s="38">
        <v>0</v>
      </c>
      <c r="I895" s="38">
        <v>0.37600338999999999</v>
      </c>
      <c r="J895" s="38">
        <v>1.8180591999999999E-2</v>
      </c>
      <c r="K895" s="38">
        <v>8.0351048999999994E-2</v>
      </c>
      <c r="L895" s="40">
        <v>0.96252887100000006</v>
      </c>
    </row>
    <row r="896" spans="1:12" hidden="1">
      <c r="A896" s="37" t="s">
        <v>1702</v>
      </c>
      <c r="B896" s="37"/>
      <c r="C896" s="37" t="s">
        <v>1199</v>
      </c>
      <c r="D896" s="64">
        <v>11066</v>
      </c>
      <c r="E896" s="38">
        <v>4.1399999999999997</v>
      </c>
      <c r="F896" s="39">
        <v>0.35490461000000001</v>
      </c>
      <c r="G896" s="38">
        <v>0</v>
      </c>
      <c r="H896" s="38">
        <v>0.47782284000000003</v>
      </c>
      <c r="I896" s="38">
        <v>0.24983317999999999</v>
      </c>
      <c r="J896" s="38">
        <v>1.5675970000000001E-2</v>
      </c>
      <c r="K896" s="38">
        <v>0</v>
      </c>
      <c r="L896" s="40">
        <v>1.0982366000000001</v>
      </c>
    </row>
    <row r="897" spans="1:12" hidden="1">
      <c r="A897" s="37" t="s">
        <v>1703</v>
      </c>
      <c r="B897" s="37"/>
      <c r="C897" s="37" t="s">
        <v>1199</v>
      </c>
      <c r="D897" s="64">
        <v>11077</v>
      </c>
      <c r="E897" s="38">
        <v>3.75</v>
      </c>
      <c r="F897" s="39">
        <v>6.8743721000000004</v>
      </c>
      <c r="G897" s="38">
        <v>0.44480792000000002</v>
      </c>
      <c r="H897" s="38">
        <v>0.47782284000000003</v>
      </c>
      <c r="I897" s="38">
        <v>0.33418850999999999</v>
      </c>
      <c r="J897" s="38">
        <v>1.5675970000000001E-2</v>
      </c>
      <c r="K897" s="38">
        <v>0</v>
      </c>
      <c r="L897" s="40">
        <v>8.14686734</v>
      </c>
    </row>
    <row r="898" spans="1:12" hidden="1">
      <c r="A898" s="37" t="s">
        <v>1704</v>
      </c>
      <c r="B898" s="37"/>
      <c r="C898" s="37" t="s">
        <v>640</v>
      </c>
      <c r="D898" s="64">
        <v>12061</v>
      </c>
      <c r="E898" s="38">
        <v>2.4500000000000002</v>
      </c>
      <c r="F898" s="39">
        <v>4.6819876999999996</v>
      </c>
      <c r="G898" s="38">
        <v>0.29382051999999997</v>
      </c>
      <c r="H898" s="38">
        <v>0.26233268999999998</v>
      </c>
      <c r="I898" s="38">
        <v>0.21100323000000001</v>
      </c>
      <c r="J898" s="38">
        <v>3.5969872999999999E-2</v>
      </c>
      <c r="K898" s="38">
        <v>6.6736979E-3</v>
      </c>
      <c r="L898" s="40">
        <v>5.4917877108999997</v>
      </c>
    </row>
    <row r="899" spans="1:12" hidden="1">
      <c r="A899" s="37" t="s">
        <v>1705</v>
      </c>
      <c r="B899" s="37"/>
      <c r="C899" s="37" t="s">
        <v>903</v>
      </c>
      <c r="D899" s="64">
        <v>25151</v>
      </c>
      <c r="E899" s="38">
        <v>2.88</v>
      </c>
      <c r="F899" s="39">
        <v>3.4401926999999999</v>
      </c>
      <c r="G899" s="38">
        <v>0.20380786000000001</v>
      </c>
      <c r="H899" s="38">
        <v>0.1040647</v>
      </c>
      <c r="I899" s="38">
        <v>0.45367938000000002</v>
      </c>
      <c r="J899" s="38">
        <v>3.7768032999999999E-2</v>
      </c>
      <c r="K899" s="38">
        <v>9.2564276000000001E-2</v>
      </c>
      <c r="L899" s="40">
        <v>4.3320769489999993</v>
      </c>
    </row>
    <row r="900" spans="1:12" hidden="1">
      <c r="A900" s="41" t="s">
        <v>1706</v>
      </c>
      <c r="B900" s="41"/>
      <c r="C900" s="41" t="s">
        <v>903</v>
      </c>
      <c r="D900" s="65">
        <v>25399</v>
      </c>
      <c r="E900" s="42">
        <v>2.92</v>
      </c>
      <c r="F900" s="43">
        <v>2.5305</v>
      </c>
      <c r="G900" s="42">
        <v>0.37562472000000002</v>
      </c>
      <c r="H900" s="42">
        <v>0.10402936</v>
      </c>
      <c r="I900" s="42">
        <v>0.21878839</v>
      </c>
      <c r="J900" s="42">
        <v>3.7768032999999999E-2</v>
      </c>
      <c r="K900" s="42">
        <v>9.2564276000000001E-2</v>
      </c>
      <c r="L900" s="44">
        <v>3.3592747790000002</v>
      </c>
    </row>
    <row r="901" spans="1:12" hidden="1">
      <c r="A901" s="37" t="s">
        <v>1707</v>
      </c>
      <c r="B901" s="37"/>
      <c r="C901" s="37" t="s">
        <v>903</v>
      </c>
      <c r="D901" s="64">
        <v>25402</v>
      </c>
      <c r="E901" s="38">
        <v>1.91</v>
      </c>
      <c r="F901" s="39">
        <v>12.394913000000001</v>
      </c>
      <c r="G901" s="38">
        <v>0.30762400000000001</v>
      </c>
      <c r="H901" s="38">
        <v>0.10407205</v>
      </c>
      <c r="I901" s="38">
        <v>0.22171415</v>
      </c>
      <c r="J901" s="38">
        <v>3.7768032999999999E-2</v>
      </c>
      <c r="K901" s="38">
        <v>9.2564276000000001E-2</v>
      </c>
      <c r="L901" s="40">
        <v>13.158655509000001</v>
      </c>
    </row>
    <row r="902" spans="1:12" hidden="1">
      <c r="A902" s="37" t="s">
        <v>1708</v>
      </c>
      <c r="B902" s="37"/>
      <c r="C902" s="37" t="s">
        <v>903</v>
      </c>
      <c r="D902" s="64">
        <v>25401</v>
      </c>
      <c r="E902" s="38">
        <v>2.1800000000000002</v>
      </c>
      <c r="F902" s="39">
        <v>3.2960292</v>
      </c>
      <c r="G902" s="38">
        <v>0.24519732999999999</v>
      </c>
      <c r="H902" s="38">
        <v>0.10407859999999999</v>
      </c>
      <c r="I902" s="38">
        <v>0.22179243000000001</v>
      </c>
      <c r="J902" s="38">
        <v>3.7768032999999999E-2</v>
      </c>
      <c r="K902" s="38">
        <v>9.2564276000000001E-2</v>
      </c>
      <c r="L902" s="40">
        <v>3.9974298689999994</v>
      </c>
    </row>
    <row r="903" spans="1:12" hidden="1">
      <c r="A903" s="37" t="s">
        <v>1709</v>
      </c>
      <c r="B903" s="37"/>
      <c r="C903" s="37" t="s">
        <v>903</v>
      </c>
      <c r="D903" s="64">
        <v>25508</v>
      </c>
      <c r="E903" s="38">
        <v>2.2200000000000002</v>
      </c>
      <c r="F903" s="39">
        <v>4.3294772000000004</v>
      </c>
      <c r="G903" s="38">
        <v>0.37688799000000001</v>
      </c>
      <c r="H903" s="38">
        <v>0.22760166000000001</v>
      </c>
      <c r="I903" s="38">
        <v>0.21953828</v>
      </c>
      <c r="J903" s="38">
        <v>3.7768032999999999E-2</v>
      </c>
      <c r="K903" s="38">
        <v>9.2564276000000001E-2</v>
      </c>
      <c r="L903" s="40">
        <v>5.2838374390000009</v>
      </c>
    </row>
    <row r="904" spans="1:12" hidden="1">
      <c r="A904" s="37" t="s">
        <v>1710</v>
      </c>
      <c r="B904" s="37"/>
      <c r="C904" s="37" t="s">
        <v>1711</v>
      </c>
      <c r="D904" s="64">
        <v>20517</v>
      </c>
      <c r="E904" s="38">
        <v>3.02</v>
      </c>
      <c r="F904" s="39">
        <v>0.48831186999999998</v>
      </c>
      <c r="G904" s="38">
        <v>0</v>
      </c>
      <c r="H904" s="38">
        <v>0.26506589000000003</v>
      </c>
      <c r="I904" s="38">
        <v>0.13112868999999999</v>
      </c>
      <c r="J904" s="38">
        <v>6.4800225000000003E-2</v>
      </c>
      <c r="K904" s="38">
        <v>0</v>
      </c>
      <c r="L904" s="40">
        <v>0.94930667499999999</v>
      </c>
    </row>
    <row r="905" spans="1:12" hidden="1">
      <c r="A905" s="37" t="s">
        <v>1712</v>
      </c>
      <c r="B905" s="37"/>
      <c r="C905" s="37" t="s">
        <v>1711</v>
      </c>
      <c r="D905" s="64">
        <v>20500</v>
      </c>
      <c r="E905" s="38">
        <v>3.01</v>
      </c>
      <c r="F905" s="39">
        <v>0.20957187999999999</v>
      </c>
      <c r="G905" s="38">
        <v>0</v>
      </c>
      <c r="H905" s="38">
        <v>0.11375999000000001</v>
      </c>
      <c r="I905" s="38">
        <v>5.6277327000000002E-2</v>
      </c>
      <c r="J905" s="38">
        <v>2.7810721E-2</v>
      </c>
      <c r="K905" s="38">
        <v>1.1022624E-2</v>
      </c>
      <c r="L905" s="40">
        <v>0.41844254199999992</v>
      </c>
    </row>
    <row r="906" spans="1:12" hidden="1">
      <c r="A906" s="37" t="s">
        <v>1713</v>
      </c>
      <c r="B906" s="37"/>
      <c r="C906" s="37" t="s">
        <v>1711</v>
      </c>
      <c r="D906" s="64">
        <v>20536</v>
      </c>
      <c r="E906" s="38">
        <v>3.16</v>
      </c>
      <c r="F906" s="39">
        <v>0.20957187999999999</v>
      </c>
      <c r="G906" s="38">
        <v>3.1676113999999998E-2</v>
      </c>
      <c r="H906" s="38">
        <v>0.11375999000000001</v>
      </c>
      <c r="I906" s="38">
        <v>9.1642330999999994E-2</v>
      </c>
      <c r="J906" s="38">
        <v>3.5277625999999999E-2</v>
      </c>
      <c r="K906" s="38">
        <v>2.1860111000000002E-2</v>
      </c>
      <c r="L906" s="40">
        <v>0.50378805199999999</v>
      </c>
    </row>
    <row r="907" spans="1:12" hidden="1">
      <c r="A907" s="37" t="s">
        <v>1714</v>
      </c>
      <c r="B907" s="37"/>
      <c r="C907" s="37" t="s">
        <v>1711</v>
      </c>
      <c r="D907" s="64">
        <v>20541</v>
      </c>
      <c r="E907" s="38">
        <v>3.35</v>
      </c>
      <c r="F907" s="39">
        <v>0.48831186999999998</v>
      </c>
      <c r="G907" s="38">
        <v>7.3806765999999996E-2</v>
      </c>
      <c r="H907" s="38">
        <v>0.26506589000000003</v>
      </c>
      <c r="I907" s="38">
        <v>0.21353074</v>
      </c>
      <c r="J907" s="38">
        <v>8.2198450000000006E-2</v>
      </c>
      <c r="K907" s="38">
        <v>2.5251829999999999E-2</v>
      </c>
      <c r="L907" s="40">
        <v>1.148165546</v>
      </c>
    </row>
    <row r="908" spans="1:12" hidden="1">
      <c r="A908" s="37" t="s">
        <v>1715</v>
      </c>
      <c r="B908" s="37"/>
      <c r="C908" s="37" t="s">
        <v>1711</v>
      </c>
      <c r="D908" s="64">
        <v>20542</v>
      </c>
      <c r="E908" s="38">
        <v>3.16</v>
      </c>
      <c r="F908" s="39">
        <v>0.20957187999999999</v>
      </c>
      <c r="G908" s="38">
        <v>3.1676113999999998E-2</v>
      </c>
      <c r="H908" s="38">
        <v>0.11375999000000001</v>
      </c>
      <c r="I908" s="38">
        <v>9.1642330999999994E-2</v>
      </c>
      <c r="J908" s="38">
        <v>3.5277625999999999E-2</v>
      </c>
      <c r="K908" s="38">
        <v>2.1860111000000002E-2</v>
      </c>
      <c r="L908" s="40">
        <v>0.50378805199999999</v>
      </c>
    </row>
    <row r="909" spans="1:12" hidden="1">
      <c r="A909" s="37" t="s">
        <v>1716</v>
      </c>
      <c r="B909" s="37"/>
      <c r="C909" s="37" t="s">
        <v>1711</v>
      </c>
      <c r="D909" s="64">
        <v>20518</v>
      </c>
      <c r="E909" s="38">
        <v>3.35</v>
      </c>
      <c r="F909" s="39">
        <v>0.48831186999999998</v>
      </c>
      <c r="G909" s="38">
        <v>0</v>
      </c>
      <c r="H909" s="38">
        <v>0.26506589000000003</v>
      </c>
      <c r="I909" s="38">
        <v>0.13112868999999999</v>
      </c>
      <c r="J909" s="38">
        <v>6.4800225000000003E-2</v>
      </c>
      <c r="K909" s="38">
        <v>0</v>
      </c>
      <c r="L909" s="40">
        <v>0.94930667499999999</v>
      </c>
    </row>
    <row r="910" spans="1:12" hidden="1">
      <c r="A910" s="37" t="s">
        <v>1717</v>
      </c>
      <c r="B910" s="37"/>
      <c r="C910" s="37" t="s">
        <v>1711</v>
      </c>
      <c r="D910" s="64">
        <v>20543</v>
      </c>
      <c r="E910" s="38">
        <v>3.16</v>
      </c>
      <c r="F910" s="39">
        <v>0.20957187999999999</v>
      </c>
      <c r="G910" s="38">
        <v>3.1676113999999998E-2</v>
      </c>
      <c r="H910" s="38">
        <v>0.11375999000000001</v>
      </c>
      <c r="I910" s="38">
        <v>9.1642330999999994E-2</v>
      </c>
      <c r="J910" s="38">
        <v>3.5277625999999999E-2</v>
      </c>
      <c r="K910" s="38">
        <v>2.1860111000000002E-2</v>
      </c>
      <c r="L910" s="40">
        <v>0.50378805199999999</v>
      </c>
    </row>
    <row r="911" spans="1:12" hidden="1">
      <c r="A911" s="37" t="s">
        <v>1718</v>
      </c>
      <c r="B911" s="37"/>
      <c r="C911" s="37" t="s">
        <v>644</v>
      </c>
      <c r="D911" s="64">
        <v>26256</v>
      </c>
      <c r="E911" s="38">
        <v>2.81</v>
      </c>
      <c r="F911" s="39">
        <v>6.1548398999999998</v>
      </c>
      <c r="G911" s="38">
        <v>0.79870878999999995</v>
      </c>
      <c r="H911" s="38">
        <v>0.39920705000000001</v>
      </c>
      <c r="I911" s="38">
        <v>0.21696675000000001</v>
      </c>
      <c r="J911" s="38">
        <v>3.7768032999999999E-2</v>
      </c>
      <c r="K911" s="38">
        <v>9.2564276000000001E-2</v>
      </c>
      <c r="L911" s="40">
        <v>7.7000547990000001</v>
      </c>
    </row>
    <row r="912" spans="1:12" hidden="1">
      <c r="A912" s="41" t="s">
        <v>1719</v>
      </c>
      <c r="B912" s="41"/>
      <c r="C912" s="41" t="s">
        <v>634</v>
      </c>
      <c r="D912" s="65">
        <v>13063</v>
      </c>
      <c r="E912" s="42">
        <v>3.04</v>
      </c>
      <c r="F912" s="43">
        <v>7.6599512999999994E-2</v>
      </c>
      <c r="G912" s="42">
        <v>0</v>
      </c>
      <c r="H912" s="42">
        <v>0</v>
      </c>
      <c r="I912" s="42">
        <v>0.24960251</v>
      </c>
      <c r="J912" s="42">
        <v>5.9401519999999998E-3</v>
      </c>
      <c r="K912" s="42">
        <v>3.2140419000000003E-2</v>
      </c>
      <c r="L912" s="44">
        <v>0.36428259399999996</v>
      </c>
    </row>
    <row r="913" spans="1:12" hidden="1">
      <c r="A913" s="37" t="s">
        <v>1720</v>
      </c>
      <c r="B913" s="37"/>
      <c r="C913" s="37" t="s">
        <v>634</v>
      </c>
      <c r="D913" s="64">
        <v>13012</v>
      </c>
      <c r="E913" s="38">
        <v>2.9</v>
      </c>
      <c r="F913" s="39">
        <v>0.21796035</v>
      </c>
      <c r="G913" s="38">
        <v>0</v>
      </c>
      <c r="H913" s="38">
        <v>0</v>
      </c>
      <c r="I913" s="38">
        <v>0.29964738000000002</v>
      </c>
      <c r="J913" s="38">
        <v>1.5591117999999999E-2</v>
      </c>
      <c r="K913" s="38">
        <v>8.0351048999999994E-2</v>
      </c>
      <c r="L913" s="40">
        <v>0.61354989700000007</v>
      </c>
    </row>
    <row r="914" spans="1:12" hidden="1">
      <c r="A914" s="37" t="s">
        <v>1721</v>
      </c>
      <c r="B914" s="37"/>
      <c r="C914" s="37" t="s">
        <v>634</v>
      </c>
      <c r="D914" s="64">
        <v>13013</v>
      </c>
      <c r="E914" s="38">
        <v>2.96</v>
      </c>
      <c r="F914" s="39">
        <v>0.61579463999999995</v>
      </c>
      <c r="G914" s="38">
        <v>0</v>
      </c>
      <c r="H914" s="38">
        <v>0.28118162000000002</v>
      </c>
      <c r="I914" s="38">
        <v>0.16137699999999999</v>
      </c>
      <c r="J914" s="38">
        <v>2.0096607999999998E-2</v>
      </c>
      <c r="K914" s="38">
        <v>0</v>
      </c>
      <c r="L914" s="40">
        <v>1.0784498680000001</v>
      </c>
    </row>
    <row r="915" spans="1:12" hidden="1">
      <c r="A915" s="37" t="s">
        <v>1722</v>
      </c>
      <c r="B915" s="37"/>
      <c r="C915" s="37" t="s">
        <v>631</v>
      </c>
      <c r="D915" s="64">
        <v>28727</v>
      </c>
      <c r="E915" s="38">
        <v>2.91</v>
      </c>
      <c r="F915" s="39">
        <v>6.1566016000000001</v>
      </c>
      <c r="G915" s="38">
        <v>0.3115697</v>
      </c>
      <c r="H915" s="38">
        <v>0.27530876999999998</v>
      </c>
      <c r="I915" s="38">
        <v>0.20620179</v>
      </c>
      <c r="J915" s="38">
        <v>3.7353873000000003E-2</v>
      </c>
      <c r="K915" s="38">
        <v>6.6736979E-3</v>
      </c>
      <c r="L915" s="40">
        <v>6.9937094308999992</v>
      </c>
    </row>
    <row r="916" spans="1:12" hidden="1">
      <c r="A916" s="37" t="s">
        <v>1723</v>
      </c>
      <c r="B916" s="37"/>
      <c r="C916" s="37" t="s">
        <v>644</v>
      </c>
      <c r="D916" s="64">
        <v>25550</v>
      </c>
      <c r="E916" s="38">
        <v>1.93</v>
      </c>
      <c r="F916" s="39">
        <v>1.6919759000000001</v>
      </c>
      <c r="G916" s="38">
        <v>0.25286945999999999</v>
      </c>
      <c r="H916" s="38">
        <v>0.10406609</v>
      </c>
      <c r="I916" s="38">
        <v>0.21600802999999999</v>
      </c>
      <c r="J916" s="38">
        <v>3.7768032999999999E-2</v>
      </c>
      <c r="K916" s="38">
        <v>9.2564276000000001E-2</v>
      </c>
      <c r="L916" s="40">
        <v>2.3952517889999996</v>
      </c>
    </row>
    <row r="917" spans="1:12" hidden="1">
      <c r="A917" s="37" t="s">
        <v>1724</v>
      </c>
      <c r="B917" s="37"/>
      <c r="C917" s="37" t="s">
        <v>1085</v>
      </c>
      <c r="D917" s="64">
        <v>19674</v>
      </c>
      <c r="E917" s="38">
        <v>3.07</v>
      </c>
      <c r="F917" s="39">
        <v>1.1065965</v>
      </c>
      <c r="G917" s="38">
        <v>0.21381681</v>
      </c>
      <c r="H917" s="38">
        <v>0.18551537000000001</v>
      </c>
      <c r="I917" s="38">
        <v>0.20300483999999999</v>
      </c>
      <c r="J917" s="38">
        <v>3.7768032999999999E-2</v>
      </c>
      <c r="K917" s="38">
        <v>6.6736979E-3</v>
      </c>
      <c r="L917" s="40">
        <v>1.7533752509</v>
      </c>
    </row>
    <row r="918" spans="1:12" hidden="1">
      <c r="A918" s="41" t="s">
        <v>1725</v>
      </c>
      <c r="B918" s="41"/>
      <c r="C918" s="41" t="s">
        <v>811</v>
      </c>
      <c r="D918" s="65">
        <v>8297</v>
      </c>
      <c r="E918" s="42">
        <v>1.76</v>
      </c>
      <c r="F918" s="43">
        <v>1.2691908000000001</v>
      </c>
      <c r="G918" s="42">
        <v>0.21086885999999999</v>
      </c>
      <c r="H918" s="42">
        <v>0.18549789</v>
      </c>
      <c r="I918" s="42">
        <v>0.22527273</v>
      </c>
      <c r="J918" s="42">
        <v>3.7768032999999999E-2</v>
      </c>
      <c r="K918" s="42">
        <v>1.7696322E-2</v>
      </c>
      <c r="L918" s="44">
        <v>1.9462946349999999</v>
      </c>
    </row>
    <row r="919" spans="1:12" hidden="1">
      <c r="A919" s="37" t="s">
        <v>1726</v>
      </c>
      <c r="B919" s="37"/>
      <c r="C919" s="37" t="s">
        <v>668</v>
      </c>
      <c r="D919" s="64">
        <v>23525</v>
      </c>
      <c r="E919" s="38">
        <v>1.84</v>
      </c>
      <c r="F919" s="39">
        <v>1.3413775999999999</v>
      </c>
      <c r="G919" s="38">
        <v>0.19173066999999999</v>
      </c>
      <c r="H919" s="38">
        <v>0.28780357000000001</v>
      </c>
      <c r="I919" s="38">
        <v>0.12982237999999999</v>
      </c>
      <c r="J919" s="38">
        <v>1.9437894000000001E-2</v>
      </c>
      <c r="K919" s="38">
        <v>0</v>
      </c>
      <c r="L919" s="40">
        <v>1.9701721139999999</v>
      </c>
    </row>
    <row r="920" spans="1:12" hidden="1">
      <c r="A920" s="37" t="s">
        <v>1727</v>
      </c>
      <c r="B920" s="37"/>
      <c r="C920" s="37" t="s">
        <v>826</v>
      </c>
      <c r="D920" s="64">
        <v>26009</v>
      </c>
      <c r="E920" s="38">
        <v>3.68</v>
      </c>
      <c r="F920" s="39">
        <v>3.1312416999999999</v>
      </c>
      <c r="G920" s="38">
        <v>0</v>
      </c>
      <c r="H920" s="38">
        <v>0.27530876999999998</v>
      </c>
      <c r="I920" s="38">
        <v>0.78496268999999996</v>
      </c>
      <c r="J920" s="38">
        <v>3.7353873000000003E-2</v>
      </c>
      <c r="K920" s="38">
        <v>6.6736979E-3</v>
      </c>
      <c r="L920" s="40">
        <v>4.2355407308999995</v>
      </c>
    </row>
    <row r="921" spans="1:12" hidden="1">
      <c r="A921" s="37" t="s">
        <v>1728</v>
      </c>
      <c r="B921" s="37"/>
      <c r="C921" s="37" t="s">
        <v>826</v>
      </c>
      <c r="D921" s="64">
        <v>26154</v>
      </c>
      <c r="E921" s="38">
        <v>3.68</v>
      </c>
      <c r="F921" s="39">
        <v>9.3213296000000003</v>
      </c>
      <c r="G921" s="38">
        <v>0</v>
      </c>
      <c r="H921" s="38">
        <v>0.27530876999999998</v>
      </c>
      <c r="I921" s="38">
        <v>1.1705296999999999</v>
      </c>
      <c r="J921" s="38">
        <v>3.7353873000000003E-2</v>
      </c>
      <c r="K921" s="38">
        <v>6.6736979E-3</v>
      </c>
      <c r="L921" s="40">
        <v>10.811195640900001</v>
      </c>
    </row>
    <row r="922" spans="1:12" hidden="1">
      <c r="A922" s="37" t="s">
        <v>1729</v>
      </c>
      <c r="B922" s="37"/>
      <c r="C922" s="37" t="s">
        <v>873</v>
      </c>
      <c r="D922" s="64">
        <v>26247</v>
      </c>
      <c r="E922" s="38">
        <v>3.56</v>
      </c>
      <c r="F922" s="39">
        <v>11.381883999999999</v>
      </c>
      <c r="G922" s="38">
        <v>0</v>
      </c>
      <c r="H922" s="38">
        <v>0.22504651000000001</v>
      </c>
      <c r="I922" s="38">
        <v>1.4292847</v>
      </c>
      <c r="J922" s="38">
        <v>4.5611246000000001E-2</v>
      </c>
      <c r="K922" s="38">
        <v>9.4039550999999999E-2</v>
      </c>
      <c r="L922" s="40">
        <v>13.175866007</v>
      </c>
    </row>
    <row r="923" spans="1:12" hidden="1">
      <c r="A923" s="41" t="s">
        <v>1730</v>
      </c>
      <c r="B923" s="41"/>
      <c r="C923" s="41" t="s">
        <v>1731</v>
      </c>
      <c r="D923" s="65">
        <v>11082</v>
      </c>
      <c r="E923" s="42">
        <v>2.02</v>
      </c>
      <c r="F923" s="43">
        <v>0.29716791999999997</v>
      </c>
      <c r="G923" s="42">
        <v>0</v>
      </c>
      <c r="H923" s="42">
        <v>0.17709348</v>
      </c>
      <c r="I923" s="42">
        <v>0.11036461</v>
      </c>
      <c r="J923" s="42">
        <v>1.9437894000000001E-2</v>
      </c>
      <c r="K923" s="42">
        <v>0</v>
      </c>
      <c r="L923" s="44">
        <v>0.60406390399999987</v>
      </c>
    </row>
    <row r="924" spans="1:12" hidden="1">
      <c r="A924" s="37" t="s">
        <v>1732</v>
      </c>
      <c r="B924" s="37"/>
      <c r="C924" s="37" t="s">
        <v>818</v>
      </c>
      <c r="D924" s="64">
        <v>9311</v>
      </c>
      <c r="E924" s="38">
        <v>4.3</v>
      </c>
      <c r="F924" s="39">
        <v>0.87949206000000002</v>
      </c>
      <c r="G924" s="38">
        <v>8.4871676999999993E-3</v>
      </c>
      <c r="H924" s="38">
        <v>6.1109615000000004E-3</v>
      </c>
      <c r="I924" s="38">
        <v>0.23255302999999999</v>
      </c>
      <c r="J924" s="38">
        <v>2.6758056999999998E-2</v>
      </c>
      <c r="K924" s="38">
        <v>0</v>
      </c>
      <c r="L924" s="40">
        <v>1.1534012761999999</v>
      </c>
    </row>
    <row r="925" spans="1:12" hidden="1">
      <c r="A925" s="37" t="s">
        <v>1733</v>
      </c>
      <c r="B925" s="37"/>
      <c r="C925" s="37" t="s">
        <v>623</v>
      </c>
      <c r="D925" s="64">
        <v>32140</v>
      </c>
      <c r="E925" s="38">
        <v>4.3099999999999996</v>
      </c>
      <c r="F925" s="39">
        <v>0.95766912999999998</v>
      </c>
      <c r="G925" s="38">
        <v>0.16246559999999999</v>
      </c>
      <c r="H925" s="38">
        <v>0.10977533</v>
      </c>
      <c r="I925" s="38">
        <v>0.26076133000000001</v>
      </c>
      <c r="J925" s="38">
        <v>1.9437894000000001E-2</v>
      </c>
      <c r="K925" s="38">
        <v>0</v>
      </c>
      <c r="L925" s="40">
        <v>1.5101092839999999</v>
      </c>
    </row>
    <row r="926" spans="1:12" hidden="1">
      <c r="A926" s="37" t="s">
        <v>1734</v>
      </c>
      <c r="B926" s="37"/>
      <c r="C926" s="37" t="s">
        <v>623</v>
      </c>
      <c r="D926" s="64">
        <v>9313</v>
      </c>
      <c r="E926" s="38">
        <v>4.25</v>
      </c>
      <c r="F926" s="39">
        <v>0.73857344999999996</v>
      </c>
      <c r="G926" s="38">
        <v>0</v>
      </c>
      <c r="H926" s="38">
        <v>0.10086320999999999</v>
      </c>
      <c r="I926" s="38">
        <v>0.13619593999999999</v>
      </c>
      <c r="J926" s="38">
        <v>1.6060356000000001E-2</v>
      </c>
      <c r="K926" s="38">
        <v>0</v>
      </c>
      <c r="L926" s="40">
        <v>0.99169295599999996</v>
      </c>
    </row>
    <row r="927" spans="1:12" hidden="1">
      <c r="A927" s="37" t="s">
        <v>1735</v>
      </c>
      <c r="B927" s="37"/>
      <c r="C927" s="37" t="s">
        <v>623</v>
      </c>
      <c r="D927" s="64">
        <v>24056</v>
      </c>
      <c r="E927" s="38">
        <v>2.92</v>
      </c>
      <c r="F927" s="39">
        <v>2.3635185000000001</v>
      </c>
      <c r="G927" s="38">
        <v>0.22831583999999999</v>
      </c>
      <c r="H927" s="38">
        <v>0.10986902</v>
      </c>
      <c r="I927" s="38">
        <v>0.13508917000000001</v>
      </c>
      <c r="J927" s="38">
        <v>1.9437894000000001E-2</v>
      </c>
      <c r="K927" s="38">
        <v>0</v>
      </c>
      <c r="L927" s="40">
        <v>2.8562304240000005</v>
      </c>
    </row>
    <row r="928" spans="1:12" hidden="1">
      <c r="A928" s="37" t="s">
        <v>1736</v>
      </c>
      <c r="B928" s="37"/>
      <c r="C928" s="37" t="s">
        <v>674</v>
      </c>
      <c r="D928" s="64">
        <v>7811</v>
      </c>
      <c r="E928" s="38">
        <v>2.68</v>
      </c>
      <c r="F928" s="39">
        <v>2.153149</v>
      </c>
      <c r="G928" s="38">
        <v>0.31407739000000001</v>
      </c>
      <c r="H928" s="38">
        <v>0.36492656000000001</v>
      </c>
      <c r="I928" s="38">
        <v>0.22367780000000001</v>
      </c>
      <c r="J928" s="38">
        <v>3.7768032999999999E-2</v>
      </c>
      <c r="K928" s="38">
        <v>9.2564276000000001E-2</v>
      </c>
      <c r="L928" s="40">
        <v>3.1861630590000001</v>
      </c>
    </row>
    <row r="929" spans="1:12" hidden="1">
      <c r="A929" s="37" t="s">
        <v>1737</v>
      </c>
      <c r="B929" s="37"/>
      <c r="C929" s="37" t="s">
        <v>788</v>
      </c>
      <c r="D929" s="64">
        <v>40102</v>
      </c>
      <c r="E929" s="38">
        <v>2.63</v>
      </c>
      <c r="F929" s="39">
        <v>20.50845</v>
      </c>
      <c r="G929" s="38">
        <v>3.4519847999999999E-2</v>
      </c>
      <c r="H929" s="38">
        <v>0.27530876999999998</v>
      </c>
      <c r="I929" s="38">
        <v>0.19781488</v>
      </c>
      <c r="J929" s="38">
        <v>3.7353873000000003E-2</v>
      </c>
      <c r="K929" s="38">
        <v>6.6736979E-3</v>
      </c>
      <c r="L929" s="40">
        <v>21.060121068899996</v>
      </c>
    </row>
    <row r="930" spans="1:12" hidden="1">
      <c r="A930" s="37" t="s">
        <v>1738</v>
      </c>
      <c r="B930" s="37"/>
      <c r="C930" s="37" t="s">
        <v>786</v>
      </c>
      <c r="D930" s="64">
        <v>40103</v>
      </c>
      <c r="E930" s="38">
        <v>2.65</v>
      </c>
      <c r="F930" s="39">
        <v>28.111091999999999</v>
      </c>
      <c r="G930" s="38">
        <v>4.7316624000000002E-2</v>
      </c>
      <c r="H930" s="38">
        <v>0.37736787999999999</v>
      </c>
      <c r="I930" s="38">
        <v>0.27114639000000001</v>
      </c>
      <c r="J930" s="38">
        <v>5.1201244999999999E-2</v>
      </c>
      <c r="K930" s="38">
        <v>9.5038267999999995E-2</v>
      </c>
      <c r="L930" s="40">
        <v>28.953162407000001</v>
      </c>
    </row>
    <row r="931" spans="1:12" hidden="1">
      <c r="A931" s="37" t="s">
        <v>1739</v>
      </c>
      <c r="B931" s="37"/>
      <c r="C931" s="37" t="s">
        <v>788</v>
      </c>
      <c r="D931" s="64">
        <v>40121</v>
      </c>
      <c r="E931" s="38">
        <v>3.05</v>
      </c>
      <c r="F931" s="39">
        <v>1.1040528000000001</v>
      </c>
      <c r="G931" s="38">
        <v>0.21943008</v>
      </c>
      <c r="H931" s="38">
        <v>0.27530876999999998</v>
      </c>
      <c r="I931" s="38">
        <v>0.20041980000000001</v>
      </c>
      <c r="J931" s="38">
        <v>3.7353873000000003E-2</v>
      </c>
      <c r="K931" s="38">
        <v>6.6736979E-3</v>
      </c>
      <c r="L931" s="40">
        <v>1.8432390208999998</v>
      </c>
    </row>
    <row r="932" spans="1:12" hidden="1">
      <c r="A932" s="37" t="s">
        <v>1740</v>
      </c>
      <c r="B932" s="37"/>
      <c r="C932" s="37" t="s">
        <v>788</v>
      </c>
      <c r="D932" s="64">
        <v>40115</v>
      </c>
      <c r="E932" s="38">
        <v>3.05</v>
      </c>
      <c r="F932" s="39">
        <v>1.1040528000000001</v>
      </c>
      <c r="G932" s="38">
        <v>0.21943008</v>
      </c>
      <c r="H932" s="38">
        <v>0.27530876999999998</v>
      </c>
      <c r="I932" s="38">
        <v>0.20041980000000001</v>
      </c>
      <c r="J932" s="38">
        <v>3.7353873000000003E-2</v>
      </c>
      <c r="K932" s="38">
        <v>6.6736979E-3</v>
      </c>
      <c r="L932" s="40">
        <v>1.8432390208999998</v>
      </c>
    </row>
    <row r="933" spans="1:12" hidden="1">
      <c r="A933" s="37" t="s">
        <v>1741</v>
      </c>
      <c r="B933" s="37"/>
      <c r="C933" s="37" t="s">
        <v>786</v>
      </c>
      <c r="D933" s="64">
        <v>40118</v>
      </c>
      <c r="E933" s="38">
        <v>3.05</v>
      </c>
      <c r="F933" s="39">
        <v>1.5133337</v>
      </c>
      <c r="G933" s="38">
        <v>0.30077451999999999</v>
      </c>
      <c r="H933" s="38">
        <v>0.37736787999999999</v>
      </c>
      <c r="I933" s="38">
        <v>0.27471698</v>
      </c>
      <c r="J933" s="38">
        <v>5.1201244999999999E-2</v>
      </c>
      <c r="K933" s="38">
        <v>9.5038267999999995E-2</v>
      </c>
      <c r="L933" s="40">
        <v>2.6124325930000003</v>
      </c>
    </row>
    <row r="934" spans="1:12" hidden="1">
      <c r="A934" s="37" t="s">
        <v>1742</v>
      </c>
      <c r="B934" s="37"/>
      <c r="C934" s="37" t="s">
        <v>788</v>
      </c>
      <c r="D934" s="64">
        <v>40104</v>
      </c>
      <c r="E934" s="38">
        <v>2.21</v>
      </c>
      <c r="F934" s="39">
        <v>20.927841000000001</v>
      </c>
      <c r="G934" s="38">
        <v>5.2136218999999998E-2</v>
      </c>
      <c r="H934" s="38">
        <v>0.27530876999999998</v>
      </c>
      <c r="I934" s="38">
        <v>0.20001251</v>
      </c>
      <c r="J934" s="38">
        <v>3.7353873000000003E-2</v>
      </c>
      <c r="K934" s="38">
        <v>6.6736979E-3</v>
      </c>
      <c r="L934" s="40">
        <v>21.4993260699</v>
      </c>
    </row>
    <row r="935" spans="1:12" hidden="1">
      <c r="A935" s="37" t="s">
        <v>1743</v>
      </c>
      <c r="B935" s="37"/>
      <c r="C935" s="37" t="s">
        <v>786</v>
      </c>
      <c r="D935" s="64">
        <v>40105</v>
      </c>
      <c r="E935" s="38">
        <v>2.2400000000000002</v>
      </c>
      <c r="F935" s="39">
        <v>28.685955</v>
      </c>
      <c r="G935" s="38">
        <v>7.1463521000000002E-2</v>
      </c>
      <c r="H935" s="38">
        <v>0.37736787999999999</v>
      </c>
      <c r="I935" s="38">
        <v>0.27415869999999998</v>
      </c>
      <c r="J935" s="38">
        <v>5.1201244999999999E-2</v>
      </c>
      <c r="K935" s="38">
        <v>9.5038267999999995E-2</v>
      </c>
      <c r="L935" s="40">
        <v>29.555184614000002</v>
      </c>
    </row>
    <row r="936" spans="1:12" hidden="1">
      <c r="A936" s="37" t="s">
        <v>1744</v>
      </c>
      <c r="B936" s="37"/>
      <c r="C936" s="37" t="s">
        <v>788</v>
      </c>
      <c r="D936" s="64">
        <v>40110</v>
      </c>
      <c r="E936" s="38">
        <v>3.05</v>
      </c>
      <c r="F936" s="39">
        <v>1.1040528000000001</v>
      </c>
      <c r="G936" s="38">
        <v>0.21943008</v>
      </c>
      <c r="H936" s="38">
        <v>0.27530876999999998</v>
      </c>
      <c r="I936" s="38">
        <v>0.20041980000000001</v>
      </c>
      <c r="J936" s="38">
        <v>3.7353873000000003E-2</v>
      </c>
      <c r="K936" s="38">
        <v>6.6736979E-3</v>
      </c>
      <c r="L936" s="40">
        <v>1.8432390208999998</v>
      </c>
    </row>
    <row r="937" spans="1:12" hidden="1">
      <c r="A937" s="37" t="s">
        <v>1745</v>
      </c>
      <c r="B937" s="37"/>
      <c r="C937" s="37" t="s">
        <v>788</v>
      </c>
      <c r="D937" s="64">
        <v>40120</v>
      </c>
      <c r="E937" s="38">
        <v>3.05</v>
      </c>
      <c r="F937" s="39">
        <v>1.1040528000000001</v>
      </c>
      <c r="G937" s="38">
        <v>0.21943008</v>
      </c>
      <c r="H937" s="38">
        <v>0.27530876999999998</v>
      </c>
      <c r="I937" s="38">
        <v>0.20041980000000001</v>
      </c>
      <c r="J937" s="38">
        <v>3.7353873000000003E-2</v>
      </c>
      <c r="K937" s="38">
        <v>6.6736979E-3</v>
      </c>
      <c r="L937" s="40">
        <v>1.8432390208999998</v>
      </c>
    </row>
    <row r="938" spans="1:12" hidden="1">
      <c r="A938" s="37" t="s">
        <v>1746</v>
      </c>
      <c r="B938" s="37"/>
      <c r="C938" s="37" t="s">
        <v>788</v>
      </c>
      <c r="D938" s="64">
        <v>40119</v>
      </c>
      <c r="E938" s="38">
        <v>2.4700000000000002</v>
      </c>
      <c r="F938" s="39">
        <v>1.4372448</v>
      </c>
      <c r="G938" s="38">
        <v>0.10353969</v>
      </c>
      <c r="H938" s="38">
        <v>0.27530876999999998</v>
      </c>
      <c r="I938" s="38">
        <v>0.19284406000000001</v>
      </c>
      <c r="J938" s="38">
        <v>3.7353873000000003E-2</v>
      </c>
      <c r="K938" s="38">
        <v>6.6736979E-3</v>
      </c>
      <c r="L938" s="40">
        <v>2.0529648909000002</v>
      </c>
    </row>
    <row r="939" spans="1:12" hidden="1">
      <c r="A939" s="37" t="s">
        <v>1747</v>
      </c>
      <c r="B939" s="37"/>
      <c r="C939" s="37" t="s">
        <v>786</v>
      </c>
      <c r="D939" s="64">
        <v>40113</v>
      </c>
      <c r="E939" s="38">
        <v>2.4900000000000002</v>
      </c>
      <c r="F939" s="39">
        <v>1.9700426</v>
      </c>
      <c r="G939" s="38">
        <v>0.14192266000000001</v>
      </c>
      <c r="H939" s="38">
        <v>0.37736787999999999</v>
      </c>
      <c r="I939" s="38">
        <v>0.26433285000000001</v>
      </c>
      <c r="J939" s="38">
        <v>5.1201244999999999E-2</v>
      </c>
      <c r="K939" s="38">
        <v>9.5038267999999995E-2</v>
      </c>
      <c r="L939" s="40">
        <v>2.8999055030000003</v>
      </c>
    </row>
    <row r="940" spans="1:12" hidden="1">
      <c r="A940" s="37" t="s">
        <v>1748</v>
      </c>
      <c r="B940" s="37"/>
      <c r="C940" s="37" t="s">
        <v>788</v>
      </c>
      <c r="D940" s="64">
        <v>40111</v>
      </c>
      <c r="E940" s="38">
        <v>2.59</v>
      </c>
      <c r="F940" s="39">
        <v>1.1040528000000001</v>
      </c>
      <c r="G940" s="38">
        <v>0.21943008</v>
      </c>
      <c r="H940" s="38">
        <v>0.27530876999999998</v>
      </c>
      <c r="I940" s="38">
        <v>0.20041980000000001</v>
      </c>
      <c r="J940" s="38">
        <v>3.7353873000000003E-2</v>
      </c>
      <c r="K940" s="38">
        <v>6.6736979E-3</v>
      </c>
      <c r="L940" s="40">
        <v>1.8432390208999998</v>
      </c>
    </row>
    <row r="941" spans="1:12" hidden="1">
      <c r="A941" s="37" t="s">
        <v>1749</v>
      </c>
      <c r="B941" s="37"/>
      <c r="C941" s="37" t="s">
        <v>786</v>
      </c>
      <c r="D941" s="64">
        <v>40116</v>
      </c>
      <c r="E941" s="38">
        <v>2.61</v>
      </c>
      <c r="F941" s="39">
        <v>1.5133337</v>
      </c>
      <c r="G941" s="38">
        <v>0.30077451999999999</v>
      </c>
      <c r="H941" s="38">
        <v>0.37736787999999999</v>
      </c>
      <c r="I941" s="38">
        <v>0.27471698</v>
      </c>
      <c r="J941" s="38">
        <v>5.1201244999999999E-2</v>
      </c>
      <c r="K941" s="38">
        <v>9.5038267999999995E-2</v>
      </c>
      <c r="L941" s="40">
        <v>2.6124325930000003</v>
      </c>
    </row>
    <row r="942" spans="1:12" hidden="1">
      <c r="A942" s="37" t="s">
        <v>1750</v>
      </c>
      <c r="B942" s="37"/>
      <c r="C942" s="37" t="s">
        <v>788</v>
      </c>
      <c r="D942" s="64">
        <v>40106</v>
      </c>
      <c r="E942" s="38">
        <v>2.63</v>
      </c>
      <c r="F942" s="39">
        <v>17.171357</v>
      </c>
      <c r="G942" s="38">
        <v>5.7167698000000003E-2</v>
      </c>
      <c r="H942" s="38">
        <v>0.27530876999999998</v>
      </c>
      <c r="I942" s="38">
        <v>0.20135906000000001</v>
      </c>
      <c r="J942" s="38">
        <v>3.7353873000000003E-2</v>
      </c>
      <c r="K942" s="38">
        <v>6.6736979E-3</v>
      </c>
      <c r="L942" s="40">
        <v>17.7492200989</v>
      </c>
    </row>
    <row r="943" spans="1:12" hidden="1">
      <c r="A943" s="37" t="s">
        <v>1751</v>
      </c>
      <c r="B943" s="37"/>
      <c r="C943" s="37" t="s">
        <v>786</v>
      </c>
      <c r="D943" s="64">
        <v>40107</v>
      </c>
      <c r="E943" s="38">
        <v>2.65</v>
      </c>
      <c r="F943" s="39">
        <v>23.536912000000001</v>
      </c>
      <c r="G943" s="38">
        <v>7.8360209E-2</v>
      </c>
      <c r="H943" s="38">
        <v>0.37736787999999999</v>
      </c>
      <c r="I943" s="38">
        <v>0.27600443000000002</v>
      </c>
      <c r="J943" s="38">
        <v>5.1201244999999999E-2</v>
      </c>
      <c r="K943" s="38">
        <v>9.5038267999999995E-2</v>
      </c>
      <c r="L943" s="40">
        <v>24.414884032000003</v>
      </c>
    </row>
    <row r="944" spans="1:12" hidden="1">
      <c r="A944" s="37" t="s">
        <v>1752</v>
      </c>
      <c r="B944" s="37"/>
      <c r="C944" s="37" t="s">
        <v>788</v>
      </c>
      <c r="D944" s="64">
        <v>40108</v>
      </c>
      <c r="E944" s="38">
        <v>3.05</v>
      </c>
      <c r="F944" s="39">
        <v>1.1040528000000001</v>
      </c>
      <c r="G944" s="38">
        <v>0.21943008</v>
      </c>
      <c r="H944" s="38">
        <v>0.27530876999999998</v>
      </c>
      <c r="I944" s="38">
        <v>0.20041980000000001</v>
      </c>
      <c r="J944" s="38">
        <v>3.7353873000000003E-2</v>
      </c>
      <c r="K944" s="38">
        <v>6.6736979E-3</v>
      </c>
      <c r="L944" s="40">
        <v>1.8432390208999998</v>
      </c>
    </row>
    <row r="945" spans="1:12" hidden="1">
      <c r="A945" s="37" t="s">
        <v>1753</v>
      </c>
      <c r="B945" s="37"/>
      <c r="C945" s="37" t="s">
        <v>842</v>
      </c>
      <c r="D945" s="64">
        <v>20135</v>
      </c>
      <c r="E945" s="38">
        <v>2.8</v>
      </c>
      <c r="F945" s="39">
        <v>1.5827568000000001</v>
      </c>
      <c r="G945" s="38">
        <v>0.26374051999999998</v>
      </c>
      <c r="H945" s="38">
        <v>0.23187236999999999</v>
      </c>
      <c r="I945" s="38">
        <v>0.28550405000000001</v>
      </c>
      <c r="J945" s="38">
        <v>4.7210041000000001E-2</v>
      </c>
      <c r="K945" s="38">
        <v>9.9715794999999996E-2</v>
      </c>
      <c r="L945" s="40">
        <v>2.5107995760000001</v>
      </c>
    </row>
    <row r="946" spans="1:12" hidden="1">
      <c r="A946" s="41" t="s">
        <v>1754</v>
      </c>
      <c r="B946" s="41"/>
      <c r="C946" s="41" t="s">
        <v>811</v>
      </c>
      <c r="D946" s="65">
        <v>25509</v>
      </c>
      <c r="E946" s="42">
        <v>1.75</v>
      </c>
      <c r="F946" s="43">
        <v>2.9355015999999998</v>
      </c>
      <c r="G946" s="42">
        <v>0.38532115</v>
      </c>
      <c r="H946" s="42">
        <v>0.10402936</v>
      </c>
      <c r="I946" s="42">
        <v>0.22132758999999999</v>
      </c>
      <c r="J946" s="42">
        <v>3.7768032999999999E-2</v>
      </c>
      <c r="K946" s="42">
        <v>1.7696322E-2</v>
      </c>
      <c r="L946" s="44">
        <v>3.7016440549999996</v>
      </c>
    </row>
    <row r="947" spans="1:12" hidden="1">
      <c r="A947" s="37" t="s">
        <v>1755</v>
      </c>
      <c r="B947" s="37"/>
      <c r="C947" s="37" t="s">
        <v>640</v>
      </c>
      <c r="D947" s="64">
        <v>12121</v>
      </c>
      <c r="E947" s="38">
        <v>2.2400000000000002</v>
      </c>
      <c r="F947" s="39">
        <v>4.3881167999999997</v>
      </c>
      <c r="G947" s="38">
        <v>0.26335405000000001</v>
      </c>
      <c r="H947" s="38">
        <v>0.26233268999999998</v>
      </c>
      <c r="I947" s="38">
        <v>0.21100323000000001</v>
      </c>
      <c r="J947" s="38">
        <v>3.5969872999999999E-2</v>
      </c>
      <c r="K947" s="38">
        <v>6.6736979E-3</v>
      </c>
      <c r="L947" s="40">
        <v>5.1674503409000003</v>
      </c>
    </row>
    <row r="948" spans="1:12" hidden="1">
      <c r="A948" s="37" t="s">
        <v>1756</v>
      </c>
      <c r="B948" s="37"/>
      <c r="C948" s="37" t="s">
        <v>674</v>
      </c>
      <c r="D948" s="64">
        <v>7812</v>
      </c>
      <c r="E948" s="38">
        <v>1.87</v>
      </c>
      <c r="F948" s="39">
        <v>0.34517013000000002</v>
      </c>
      <c r="G948" s="38">
        <v>0.17076637</v>
      </c>
      <c r="H948" s="38">
        <v>0.27090023000000002</v>
      </c>
      <c r="I948" s="38">
        <v>0.19985559</v>
      </c>
      <c r="J948" s="38">
        <v>3.7768032999999999E-2</v>
      </c>
      <c r="K948" s="38">
        <v>9.2564276000000001E-2</v>
      </c>
      <c r="L948" s="40">
        <v>1.1170246290000001</v>
      </c>
    </row>
    <row r="949" spans="1:12" hidden="1">
      <c r="A949" s="37" t="s">
        <v>1757</v>
      </c>
      <c r="B949" s="37"/>
      <c r="C949" s="37" t="s">
        <v>640</v>
      </c>
      <c r="D949" s="64">
        <v>12522</v>
      </c>
      <c r="E949" s="38">
        <v>2.2400000000000002</v>
      </c>
      <c r="F949" s="39">
        <v>4.6609148999999999</v>
      </c>
      <c r="G949" s="38">
        <v>0.24770482999999999</v>
      </c>
      <c r="H949" s="38">
        <v>0.26233268999999998</v>
      </c>
      <c r="I949" s="38">
        <v>0.21100323000000001</v>
      </c>
      <c r="J949" s="38">
        <v>3.5969872999999999E-2</v>
      </c>
      <c r="K949" s="38">
        <v>6.6736979E-3</v>
      </c>
      <c r="L949" s="40">
        <v>5.4245992209000002</v>
      </c>
    </row>
    <row r="950" spans="1:12" hidden="1">
      <c r="A950" s="37" t="s">
        <v>1758</v>
      </c>
      <c r="B950" s="37"/>
      <c r="C950" s="37" t="s">
        <v>640</v>
      </c>
      <c r="D950" s="64">
        <v>12519</v>
      </c>
      <c r="E950" s="38">
        <v>2.2400000000000002</v>
      </c>
      <c r="F950" s="39">
        <v>4.7702866000000004</v>
      </c>
      <c r="G950" s="38">
        <v>0.24144514</v>
      </c>
      <c r="H950" s="38">
        <v>0.26233268999999998</v>
      </c>
      <c r="I950" s="38">
        <v>0.21100323000000001</v>
      </c>
      <c r="J950" s="38">
        <v>3.5969872999999999E-2</v>
      </c>
      <c r="K950" s="38">
        <v>6.6736979E-3</v>
      </c>
      <c r="L950" s="40">
        <v>5.5277112309000005</v>
      </c>
    </row>
    <row r="951" spans="1:12" hidden="1">
      <c r="A951" s="41" t="s">
        <v>1759</v>
      </c>
      <c r="B951" s="41"/>
      <c r="C951" s="41" t="s">
        <v>634</v>
      </c>
      <c r="D951" s="65">
        <v>13014</v>
      </c>
      <c r="E951" s="42">
        <v>2.14</v>
      </c>
      <c r="F951" s="43">
        <v>0.22238959</v>
      </c>
      <c r="G951" s="42">
        <v>0</v>
      </c>
      <c r="H951" s="42">
        <v>0</v>
      </c>
      <c r="I951" s="42">
        <v>0.23917279</v>
      </c>
      <c r="J951" s="42">
        <v>5.5671528E-3</v>
      </c>
      <c r="K951" s="42">
        <v>9.9362450999999994E-3</v>
      </c>
      <c r="L951" s="44">
        <v>0.47706577789999999</v>
      </c>
    </row>
    <row r="952" spans="1:12" hidden="1">
      <c r="A952" s="41" t="s">
        <v>1760</v>
      </c>
      <c r="B952" s="41"/>
      <c r="C952" s="41" t="s">
        <v>634</v>
      </c>
      <c r="D952" s="65">
        <v>13014</v>
      </c>
      <c r="E952" s="42">
        <v>2.14</v>
      </c>
      <c r="F952" s="43">
        <v>0.26544341999999999</v>
      </c>
      <c r="G952" s="42">
        <v>0</v>
      </c>
      <c r="H952" s="42">
        <v>0</v>
      </c>
      <c r="I952" s="42">
        <v>0.26771240000000002</v>
      </c>
      <c r="J952" s="42">
        <v>5.5671528E-3</v>
      </c>
      <c r="K952" s="42">
        <v>9.9362450999999994E-3</v>
      </c>
      <c r="L952" s="44">
        <v>0.54865921789999994</v>
      </c>
    </row>
    <row r="953" spans="1:12" hidden="1">
      <c r="A953" s="41" t="s">
        <v>1761</v>
      </c>
      <c r="B953" s="41"/>
      <c r="C953" s="41" t="s">
        <v>634</v>
      </c>
      <c r="D953" s="65">
        <v>13014</v>
      </c>
      <c r="E953" s="42">
        <v>2.25</v>
      </c>
      <c r="F953" s="43">
        <v>0.23407381999999999</v>
      </c>
      <c r="G953" s="42">
        <v>0</v>
      </c>
      <c r="H953" s="42">
        <v>0</v>
      </c>
      <c r="I953" s="42">
        <v>0.24691310999999996</v>
      </c>
      <c r="J953" s="42">
        <v>5.5671528E-3</v>
      </c>
      <c r="K953" s="42">
        <v>9.9362450999999994E-3</v>
      </c>
      <c r="L953" s="44">
        <v>0.49649032789999992</v>
      </c>
    </row>
    <row r="954" spans="1:12" hidden="1">
      <c r="A954" s="41" t="s">
        <v>1762</v>
      </c>
      <c r="B954" s="41"/>
      <c r="C954" s="41" t="s">
        <v>668</v>
      </c>
      <c r="D954" s="65">
        <v>23009</v>
      </c>
      <c r="E954" s="42">
        <v>2.59</v>
      </c>
      <c r="F954" s="43">
        <v>1.3536007000000001</v>
      </c>
      <c r="G954" s="42">
        <v>0.23737976999999999</v>
      </c>
      <c r="H954" s="42">
        <v>0.28778185000000001</v>
      </c>
      <c r="I954" s="42">
        <v>0.19308078000000001</v>
      </c>
      <c r="J954" s="42">
        <v>1.9437894000000001E-2</v>
      </c>
      <c r="K954" s="42">
        <v>0</v>
      </c>
      <c r="L954" s="44">
        <v>2.0912809940000003</v>
      </c>
    </row>
    <row r="955" spans="1:12" hidden="1">
      <c r="A955" s="41" t="s">
        <v>1763</v>
      </c>
      <c r="B955" s="41"/>
      <c r="C955" s="41" t="s">
        <v>634</v>
      </c>
      <c r="D955" s="65">
        <v>13015</v>
      </c>
      <c r="E955" s="42">
        <v>2.68</v>
      </c>
      <c r="F955" s="43">
        <v>1.0250766</v>
      </c>
      <c r="G955" s="42">
        <v>0</v>
      </c>
      <c r="H955" s="42">
        <v>0</v>
      </c>
      <c r="I955" s="42">
        <v>0.43445757000000002</v>
      </c>
      <c r="J955" s="42">
        <v>5.5671528E-3</v>
      </c>
      <c r="K955" s="42">
        <v>9.9362450999999994E-3</v>
      </c>
      <c r="L955" s="44">
        <v>1.4750375679000001</v>
      </c>
    </row>
    <row r="956" spans="1:12" hidden="1">
      <c r="A956" s="41" t="s">
        <v>1764</v>
      </c>
      <c r="B956" s="41"/>
      <c r="C956" s="41" t="s">
        <v>634</v>
      </c>
      <c r="D956" s="65">
        <v>13136</v>
      </c>
      <c r="E956" s="42">
        <v>2.93</v>
      </c>
      <c r="F956" s="43">
        <v>1.0241541000000001</v>
      </c>
      <c r="G956" s="42">
        <v>6.3264554999999997E-3</v>
      </c>
      <c r="H956" s="42">
        <v>0.28118162000000002</v>
      </c>
      <c r="I956" s="42">
        <v>0.43798906999999998</v>
      </c>
      <c r="J956" s="42">
        <v>0.15226382999999999</v>
      </c>
      <c r="K956" s="42">
        <v>2.5251829999999999E-2</v>
      </c>
      <c r="L956" s="44">
        <v>1.9271669054999998</v>
      </c>
    </row>
    <row r="957" spans="1:12" hidden="1">
      <c r="A957" s="37" t="s">
        <v>1765</v>
      </c>
      <c r="B957" s="37"/>
      <c r="C957" s="37" t="s">
        <v>816</v>
      </c>
      <c r="D957" s="64">
        <v>51510</v>
      </c>
      <c r="E957" s="38">
        <v>2.88</v>
      </c>
      <c r="F957" s="39">
        <v>0.68012547000000001</v>
      </c>
      <c r="G957" s="38">
        <v>0.59010300999999998</v>
      </c>
      <c r="H957" s="38">
        <v>0.26506589000000003</v>
      </c>
      <c r="I957" s="38">
        <v>0.11323782</v>
      </c>
      <c r="J957" s="38">
        <v>1.606076E-2</v>
      </c>
      <c r="K957" s="38">
        <v>0</v>
      </c>
      <c r="L957" s="40">
        <v>1.6645929500000001</v>
      </c>
    </row>
    <row r="958" spans="1:12" hidden="1">
      <c r="A958" s="37" t="s">
        <v>1766</v>
      </c>
      <c r="B958" s="37"/>
      <c r="C958" s="37" t="s">
        <v>816</v>
      </c>
      <c r="D958" s="64">
        <v>51511</v>
      </c>
      <c r="E958" s="38">
        <v>2.88</v>
      </c>
      <c r="F958" s="39">
        <v>0.30104639999999999</v>
      </c>
      <c r="G958" s="38">
        <v>0.26119943000000001</v>
      </c>
      <c r="H958" s="38">
        <v>8.0555266E-2</v>
      </c>
      <c r="I958" s="38">
        <v>5.0122866000000002E-2</v>
      </c>
      <c r="J958" s="38">
        <v>7.1090323999999996E-3</v>
      </c>
      <c r="K958" s="38">
        <v>1.1022624E-2</v>
      </c>
      <c r="L958" s="40">
        <v>0.71105561839999998</v>
      </c>
    </row>
    <row r="959" spans="1:12" ht="14.15" hidden="1" customHeight="1">
      <c r="A959" s="37" t="s">
        <v>1767</v>
      </c>
      <c r="B959" s="37"/>
      <c r="C959" s="37" t="s">
        <v>628</v>
      </c>
      <c r="D959" s="64">
        <v>4032</v>
      </c>
      <c r="E959" s="38">
        <v>2.71</v>
      </c>
      <c r="F959" s="39">
        <v>0.23301609000000001</v>
      </c>
      <c r="G959" s="38">
        <v>0.25794214999999998</v>
      </c>
      <c r="H959" s="38">
        <v>0.40034906999999997</v>
      </c>
      <c r="I959" s="38">
        <v>0.36114825</v>
      </c>
      <c r="J959" s="38">
        <v>0.15356021</v>
      </c>
      <c r="K959" s="38">
        <v>0.12184436999999999</v>
      </c>
      <c r="L959" s="40">
        <v>1.52786014</v>
      </c>
    </row>
    <row r="960" spans="1:12" hidden="1">
      <c r="A960" s="37" t="s">
        <v>1768</v>
      </c>
      <c r="B960" s="37"/>
      <c r="C960" s="37" t="s">
        <v>628</v>
      </c>
      <c r="D960" s="64">
        <v>4046</v>
      </c>
      <c r="E960" s="38">
        <v>2.93</v>
      </c>
      <c r="F960" s="39">
        <v>0.16357782000000001</v>
      </c>
      <c r="G960" s="38">
        <v>0.12517598999999999</v>
      </c>
      <c r="H960" s="38">
        <v>0.40034906999999997</v>
      </c>
      <c r="I960" s="38">
        <v>0.32739591000000001</v>
      </c>
      <c r="J960" s="38">
        <v>0.15356021</v>
      </c>
      <c r="K960" s="38">
        <v>0.11752244000000001</v>
      </c>
      <c r="L960" s="40">
        <v>1.2875814399999999</v>
      </c>
    </row>
    <row r="961" spans="1:12" hidden="1">
      <c r="A961" s="37" t="s">
        <v>1769</v>
      </c>
      <c r="B961" s="37"/>
      <c r="C961" s="37" t="s">
        <v>628</v>
      </c>
      <c r="D961" s="64">
        <v>4045</v>
      </c>
      <c r="E961" s="38">
        <v>2.93</v>
      </c>
      <c r="F961" s="39">
        <v>0.14986126999999999</v>
      </c>
      <c r="G961" s="38">
        <v>0.12370572000000001</v>
      </c>
      <c r="H961" s="38">
        <v>0.40034906999999997</v>
      </c>
      <c r="I961" s="38">
        <v>0.32653367999999999</v>
      </c>
      <c r="J961" s="38">
        <v>0.15356021</v>
      </c>
      <c r="K961" s="38">
        <v>4.6976419999999998E-2</v>
      </c>
      <c r="L961" s="40">
        <v>1.2009863700000001</v>
      </c>
    </row>
    <row r="962" spans="1:12" hidden="1">
      <c r="A962" s="37" t="s">
        <v>1770</v>
      </c>
      <c r="B962" s="37"/>
      <c r="C962" s="37" t="s">
        <v>628</v>
      </c>
      <c r="D962" s="64">
        <v>4044</v>
      </c>
      <c r="E962" s="38">
        <v>2.93</v>
      </c>
      <c r="F962" s="39">
        <v>0.14986126999999999</v>
      </c>
      <c r="G962" s="38">
        <v>0.12370572000000001</v>
      </c>
      <c r="H962" s="38">
        <v>0.40034906999999997</v>
      </c>
      <c r="I962" s="38">
        <v>0.32653367999999999</v>
      </c>
      <c r="J962" s="38">
        <v>0.15356021</v>
      </c>
      <c r="K962" s="38">
        <v>0.12184436999999999</v>
      </c>
      <c r="L962" s="40">
        <v>1.2758543200000001</v>
      </c>
    </row>
    <row r="963" spans="1:12" hidden="1">
      <c r="A963" s="37" t="s">
        <v>1771</v>
      </c>
      <c r="B963" s="37"/>
      <c r="C963" s="37" t="s">
        <v>628</v>
      </c>
      <c r="D963" s="64">
        <v>4030</v>
      </c>
      <c r="E963" s="38">
        <v>2.93</v>
      </c>
      <c r="F963" s="39">
        <v>0.14986126999999999</v>
      </c>
      <c r="G963" s="38">
        <v>0.12370572000000001</v>
      </c>
      <c r="H963" s="38">
        <v>0.40034906999999997</v>
      </c>
      <c r="I963" s="38">
        <v>0.32653367999999999</v>
      </c>
      <c r="J963" s="38">
        <v>0.15356021</v>
      </c>
      <c r="K963" s="38">
        <v>0.12184436999999999</v>
      </c>
      <c r="L963" s="40">
        <v>1.2758543200000001</v>
      </c>
    </row>
    <row r="964" spans="1:12" hidden="1">
      <c r="A964" s="37" t="s">
        <v>1772</v>
      </c>
      <c r="B964" s="37"/>
      <c r="C964" s="37" t="s">
        <v>640</v>
      </c>
      <c r="D964" s="64">
        <v>12705</v>
      </c>
      <c r="E964" s="38">
        <v>2.2400000000000002</v>
      </c>
      <c r="F964" s="39">
        <v>4.4488136000000003</v>
      </c>
      <c r="G964" s="38">
        <v>0.46616422000000002</v>
      </c>
      <c r="H964" s="38">
        <v>0.26233268999999998</v>
      </c>
      <c r="I964" s="38">
        <v>0.21100323000000001</v>
      </c>
      <c r="J964" s="38">
        <v>3.5969872999999999E-2</v>
      </c>
      <c r="K964" s="38">
        <v>6.6736979E-3</v>
      </c>
      <c r="L964" s="40">
        <v>5.4309573109000011</v>
      </c>
    </row>
    <row r="965" spans="1:12" hidden="1">
      <c r="A965" s="37" t="s">
        <v>1773</v>
      </c>
      <c r="B965" s="37"/>
      <c r="C965" s="37" t="s">
        <v>640</v>
      </c>
      <c r="D965" s="64">
        <v>12741</v>
      </c>
      <c r="E965" s="38">
        <v>2.2400000000000002</v>
      </c>
      <c r="F965" s="39">
        <v>4.8116440999999996</v>
      </c>
      <c r="G965" s="38">
        <v>0.42909194000000001</v>
      </c>
      <c r="H965" s="38">
        <v>0.26233268999999998</v>
      </c>
      <c r="I965" s="38">
        <v>0.21100323000000001</v>
      </c>
      <c r="J965" s="38">
        <v>3.5969872999999999E-2</v>
      </c>
      <c r="K965" s="38">
        <v>6.6736979E-3</v>
      </c>
      <c r="L965" s="40">
        <v>5.7567155309000002</v>
      </c>
    </row>
    <row r="966" spans="1:12" hidden="1">
      <c r="A966" s="41" t="s">
        <v>1774</v>
      </c>
      <c r="B966" s="41"/>
      <c r="C966" s="41" t="s">
        <v>640</v>
      </c>
      <c r="D966" s="65">
        <v>12047</v>
      </c>
      <c r="E966" s="42">
        <v>2.2400000000000002</v>
      </c>
      <c r="F966" s="43">
        <v>4.5913510000000004</v>
      </c>
      <c r="G966" s="42">
        <v>0.25128179</v>
      </c>
      <c r="H966" s="42">
        <v>0.26233268999999998</v>
      </c>
      <c r="I966" s="42">
        <v>0.21100323000000001</v>
      </c>
      <c r="J966" s="42">
        <v>3.5969872999999999E-2</v>
      </c>
      <c r="K966" s="42">
        <v>6.6736979E-3</v>
      </c>
      <c r="L966" s="44">
        <v>5.358612280900001</v>
      </c>
    </row>
    <row r="967" spans="1:12" hidden="1">
      <c r="A967" s="41" t="s">
        <v>1775</v>
      </c>
      <c r="B967" s="41"/>
      <c r="C967" s="41" t="s">
        <v>640</v>
      </c>
      <c r="D967" s="65">
        <v>12008</v>
      </c>
      <c r="E967" s="42">
        <v>2.2400000000000002</v>
      </c>
      <c r="F967" s="43">
        <v>4.4839498000000004</v>
      </c>
      <c r="G967" s="42">
        <v>0.25798860000000001</v>
      </c>
      <c r="H967" s="42">
        <v>0.26233268999999998</v>
      </c>
      <c r="I967" s="42">
        <v>0.21100323000000001</v>
      </c>
      <c r="J967" s="42">
        <v>3.5969872999999999E-2</v>
      </c>
      <c r="K967" s="42">
        <v>6.6736979E-3</v>
      </c>
      <c r="L967" s="44">
        <v>5.2579178909000008</v>
      </c>
    </row>
    <row r="968" spans="1:12" hidden="1">
      <c r="A968" s="41" t="s">
        <v>1776</v>
      </c>
      <c r="B968" s="41"/>
      <c r="C968" s="41" t="s">
        <v>640</v>
      </c>
      <c r="D968" s="65">
        <v>12003</v>
      </c>
      <c r="E968" s="42">
        <v>2.2400000000000002</v>
      </c>
      <c r="F968" s="43">
        <v>4.6122069000000003</v>
      </c>
      <c r="G968" s="42">
        <v>0.25038755000000001</v>
      </c>
      <c r="H968" s="42">
        <v>0.26233268999999998</v>
      </c>
      <c r="I968" s="42">
        <v>0.21100323000000001</v>
      </c>
      <c r="J968" s="42">
        <v>3.5969872999999999E-2</v>
      </c>
      <c r="K968" s="42">
        <v>6.6736979E-3</v>
      </c>
      <c r="L968" s="44">
        <v>5.3785739409000008</v>
      </c>
    </row>
    <row r="969" spans="1:12" hidden="1">
      <c r="A969" s="41" t="s">
        <v>1777</v>
      </c>
      <c r="B969" s="41"/>
      <c r="C969" s="41" t="s">
        <v>640</v>
      </c>
      <c r="D969" s="65">
        <v>12035</v>
      </c>
      <c r="E969" s="42">
        <v>2.2400000000000002</v>
      </c>
      <c r="F969" s="43">
        <v>4.3881167999999997</v>
      </c>
      <c r="G969" s="42">
        <v>0.26335405000000001</v>
      </c>
      <c r="H969" s="42">
        <v>0.26233268999999998</v>
      </c>
      <c r="I969" s="42">
        <v>0.21100323000000001</v>
      </c>
      <c r="J969" s="42">
        <v>3.5969872999999999E-2</v>
      </c>
      <c r="K969" s="42">
        <v>6.6736979E-3</v>
      </c>
      <c r="L969" s="44">
        <v>5.1674503409000003</v>
      </c>
    </row>
    <row r="970" spans="1:12" hidden="1">
      <c r="A970" s="41" t="s">
        <v>1778</v>
      </c>
      <c r="B970" s="41"/>
      <c r="C970" s="41" t="s">
        <v>640</v>
      </c>
      <c r="D970" s="65">
        <v>12050</v>
      </c>
      <c r="E970" s="42">
        <v>2.2400000000000002</v>
      </c>
      <c r="F970" s="43">
        <v>4.3881167999999997</v>
      </c>
      <c r="G970" s="42">
        <v>0.26335405000000001</v>
      </c>
      <c r="H970" s="42">
        <v>0.26233268999999998</v>
      </c>
      <c r="I970" s="42">
        <v>0.21100323000000001</v>
      </c>
      <c r="J970" s="42">
        <v>3.5969872999999999E-2</v>
      </c>
      <c r="K970" s="42">
        <v>6.6736979E-3</v>
      </c>
      <c r="L970" s="44">
        <v>5.1674503409000003</v>
      </c>
    </row>
    <row r="971" spans="1:12" hidden="1">
      <c r="A971" s="41" t="s">
        <v>1779</v>
      </c>
      <c r="B971" s="41"/>
      <c r="C971" s="41" t="s">
        <v>640</v>
      </c>
      <c r="D971" s="65">
        <v>12033</v>
      </c>
      <c r="E971" s="42">
        <v>2.2400000000000002</v>
      </c>
      <c r="F971" s="43">
        <v>4.3881167999999997</v>
      </c>
      <c r="G971" s="42">
        <v>0.26335405000000001</v>
      </c>
      <c r="H971" s="42">
        <v>0.26233268999999998</v>
      </c>
      <c r="I971" s="42">
        <v>0.21100323000000001</v>
      </c>
      <c r="J971" s="42">
        <v>3.5969872999999999E-2</v>
      </c>
      <c r="K971" s="42">
        <v>6.6736979E-3</v>
      </c>
      <c r="L971" s="44">
        <v>5.1674503409000003</v>
      </c>
    </row>
    <row r="972" spans="1:12" hidden="1">
      <c r="A972" s="37" t="s">
        <v>1780</v>
      </c>
      <c r="B972" s="37"/>
      <c r="C972" s="37" t="s">
        <v>640</v>
      </c>
      <c r="D972" s="64">
        <v>12116</v>
      </c>
      <c r="E972" s="38">
        <v>2.27</v>
      </c>
      <c r="F972" s="39">
        <v>5.2507248000000004</v>
      </c>
      <c r="G972" s="38">
        <v>0.38649824999999999</v>
      </c>
      <c r="H972" s="38">
        <v>0.26233268999999998</v>
      </c>
      <c r="I972" s="38">
        <v>0.21100323000000001</v>
      </c>
      <c r="J972" s="38">
        <v>3.5969872999999999E-2</v>
      </c>
      <c r="K972" s="38">
        <v>6.6736979E-3</v>
      </c>
      <c r="L972" s="40">
        <v>6.1532025409000006</v>
      </c>
    </row>
    <row r="973" spans="1:12" hidden="1">
      <c r="A973" s="37" t="s">
        <v>1781</v>
      </c>
      <c r="B973" s="37"/>
      <c r="C973" s="37" t="s">
        <v>1085</v>
      </c>
      <c r="D973" s="64">
        <v>19644</v>
      </c>
      <c r="E973" s="38">
        <v>3.48</v>
      </c>
      <c r="F973" s="39">
        <v>1.0627205</v>
      </c>
      <c r="G973" s="38">
        <v>0.12902031</v>
      </c>
      <c r="H973" s="38">
        <v>0.18031662000000001</v>
      </c>
      <c r="I973" s="38">
        <v>0.18373555999999999</v>
      </c>
      <c r="J973" s="38">
        <v>3.5969872999999999E-2</v>
      </c>
      <c r="K973" s="38">
        <v>6.6736979E-3</v>
      </c>
      <c r="L973" s="40">
        <v>1.5984365608999997</v>
      </c>
    </row>
    <row r="974" spans="1:12" hidden="1">
      <c r="A974" s="37" t="s">
        <v>1782</v>
      </c>
      <c r="B974" s="37"/>
      <c r="C974" s="37" t="s">
        <v>1085</v>
      </c>
      <c r="D974" s="64">
        <v>19646</v>
      </c>
      <c r="E974" s="38">
        <v>3.48</v>
      </c>
      <c r="F974" s="39">
        <v>1.2841206000000001</v>
      </c>
      <c r="G974" s="38">
        <v>0.12902031</v>
      </c>
      <c r="H974" s="38">
        <v>0.18031662000000001</v>
      </c>
      <c r="I974" s="38">
        <v>0.18373555999999999</v>
      </c>
      <c r="J974" s="38">
        <v>3.5969872999999999E-2</v>
      </c>
      <c r="K974" s="38">
        <v>6.6736979E-3</v>
      </c>
      <c r="L974" s="40">
        <v>1.8198366608999998</v>
      </c>
    </row>
    <row r="975" spans="1:12" hidden="1">
      <c r="A975" s="37" t="s">
        <v>1783</v>
      </c>
      <c r="B975" s="37"/>
      <c r="C975" s="37" t="s">
        <v>1085</v>
      </c>
      <c r="D975" s="64">
        <v>19649</v>
      </c>
      <c r="E975" s="38">
        <v>3.48</v>
      </c>
      <c r="F975" s="39">
        <v>1.6494306999999999</v>
      </c>
      <c r="G975" s="38">
        <v>0.12902031</v>
      </c>
      <c r="H975" s="38">
        <v>0.18031662000000001</v>
      </c>
      <c r="I975" s="38">
        <v>0.18373555999999999</v>
      </c>
      <c r="J975" s="38">
        <v>3.5969872999999999E-2</v>
      </c>
      <c r="K975" s="38">
        <v>6.6736979E-3</v>
      </c>
      <c r="L975" s="40">
        <v>2.1851467608999999</v>
      </c>
    </row>
    <row r="976" spans="1:12" hidden="1">
      <c r="A976" s="37" t="s">
        <v>1784</v>
      </c>
      <c r="B976" s="37"/>
      <c r="C976" s="37" t="s">
        <v>1085</v>
      </c>
      <c r="D976" s="64">
        <v>19659</v>
      </c>
      <c r="E976" s="38">
        <v>1.85</v>
      </c>
      <c r="F976" s="39">
        <v>0.84479680000000001</v>
      </c>
      <c r="G976" s="38">
        <v>0.16630381999999999</v>
      </c>
      <c r="H976" s="38">
        <v>0.18549789</v>
      </c>
      <c r="I976" s="38">
        <v>0.20574028999999999</v>
      </c>
      <c r="J976" s="38">
        <v>3.7768032999999999E-2</v>
      </c>
      <c r="K976" s="38">
        <v>6.6736979E-3</v>
      </c>
      <c r="L976" s="40">
        <v>1.4467805309000001</v>
      </c>
    </row>
    <row r="977" spans="1:12" hidden="1">
      <c r="A977" s="37" t="s">
        <v>1785</v>
      </c>
      <c r="B977" s="37"/>
      <c r="C977" s="37" t="s">
        <v>640</v>
      </c>
      <c r="D977" s="64">
        <v>12520</v>
      </c>
      <c r="E977" s="38">
        <v>2.2400000000000002</v>
      </c>
      <c r="F977" s="39">
        <v>4.5258165999999997</v>
      </c>
      <c r="G977" s="38">
        <v>0.25530587999999999</v>
      </c>
      <c r="H977" s="38">
        <v>0.26233268999999998</v>
      </c>
      <c r="I977" s="38">
        <v>0.21100323000000001</v>
      </c>
      <c r="J977" s="38">
        <v>3.5969872999999999E-2</v>
      </c>
      <c r="K977" s="38">
        <v>6.6736979E-3</v>
      </c>
      <c r="L977" s="40">
        <v>5.2971019709</v>
      </c>
    </row>
    <row r="978" spans="1:12" hidden="1">
      <c r="A978" s="37" t="s">
        <v>1786</v>
      </c>
      <c r="B978" s="37"/>
      <c r="C978" s="37" t="s">
        <v>640</v>
      </c>
      <c r="D978" s="64">
        <v>12521</v>
      </c>
      <c r="E978" s="38">
        <v>2.2400000000000002</v>
      </c>
      <c r="F978" s="39">
        <v>4.6547821000000003</v>
      </c>
      <c r="G978" s="38">
        <v>0.24770482999999999</v>
      </c>
      <c r="H978" s="38">
        <v>0.26233268999999998</v>
      </c>
      <c r="I978" s="38">
        <v>0.21100323000000001</v>
      </c>
      <c r="J978" s="38">
        <v>3.5969872999999999E-2</v>
      </c>
      <c r="K978" s="38">
        <v>6.6736979E-3</v>
      </c>
      <c r="L978" s="40">
        <v>5.4184664209000006</v>
      </c>
    </row>
    <row r="979" spans="1:12" hidden="1">
      <c r="A979" s="37" t="s">
        <v>1787</v>
      </c>
      <c r="B979" s="37"/>
      <c r="C979" s="37" t="s">
        <v>640</v>
      </c>
      <c r="D979" s="64">
        <v>12527</v>
      </c>
      <c r="E979" s="38">
        <v>2.2400000000000002</v>
      </c>
      <c r="F979" s="39">
        <v>4.5258165999999997</v>
      </c>
      <c r="G979" s="38">
        <v>0.25530587999999999</v>
      </c>
      <c r="H979" s="38">
        <v>0.26233268999999998</v>
      </c>
      <c r="I979" s="38">
        <v>0.21100323000000001</v>
      </c>
      <c r="J979" s="38">
        <v>3.5969872999999999E-2</v>
      </c>
      <c r="K979" s="38">
        <v>6.6736979E-3</v>
      </c>
      <c r="L979" s="40">
        <v>5.2971019709</v>
      </c>
    </row>
    <row r="980" spans="1:12" hidden="1">
      <c r="A980" s="37" t="s">
        <v>1788</v>
      </c>
      <c r="B980" s="37"/>
      <c r="C980" s="37" t="s">
        <v>640</v>
      </c>
      <c r="D980" s="64">
        <v>12528</v>
      </c>
      <c r="E980" s="38">
        <v>2.2400000000000002</v>
      </c>
      <c r="F980" s="39">
        <v>4.2464317999999999</v>
      </c>
      <c r="G980" s="38">
        <v>0.2709551</v>
      </c>
      <c r="H980" s="38">
        <v>0.26233268999999998</v>
      </c>
      <c r="I980" s="38">
        <v>0.21100323000000001</v>
      </c>
      <c r="J980" s="38">
        <v>3.5969872999999999E-2</v>
      </c>
      <c r="K980" s="38">
        <v>6.6736979E-3</v>
      </c>
      <c r="L980" s="40">
        <v>5.0333663909000004</v>
      </c>
    </row>
    <row r="981" spans="1:12" hidden="1">
      <c r="A981" s="37" t="s">
        <v>1789</v>
      </c>
      <c r="B981" s="37"/>
      <c r="C981" s="37" t="s">
        <v>640</v>
      </c>
      <c r="D981" s="64">
        <v>12523</v>
      </c>
      <c r="E981" s="38">
        <v>2.2400000000000002</v>
      </c>
      <c r="F981" s="39">
        <v>4.6746416999999996</v>
      </c>
      <c r="G981" s="38">
        <v>0.24681058</v>
      </c>
      <c r="H981" s="38">
        <v>0.26233268999999998</v>
      </c>
      <c r="I981" s="38">
        <v>0.21100323000000001</v>
      </c>
      <c r="J981" s="38">
        <v>3.5969872999999999E-2</v>
      </c>
      <c r="K981" s="38">
        <v>6.6736979E-3</v>
      </c>
      <c r="L981" s="40">
        <v>5.4374317709</v>
      </c>
    </row>
    <row r="982" spans="1:12" hidden="1">
      <c r="A982" s="41" t="s">
        <v>1790</v>
      </c>
      <c r="B982" s="41"/>
      <c r="C982" s="41" t="s">
        <v>640</v>
      </c>
      <c r="D982" s="65">
        <v>12824</v>
      </c>
      <c r="E982" s="42">
        <v>2.4500000000000002</v>
      </c>
      <c r="F982" s="43">
        <v>4.6819876999999996</v>
      </c>
      <c r="G982" s="42">
        <v>0.29382051999999997</v>
      </c>
      <c r="H982" s="42">
        <v>0.26233268999999998</v>
      </c>
      <c r="I982" s="42">
        <v>0.21100323000000001</v>
      </c>
      <c r="J982" s="42">
        <v>3.5969872999999999E-2</v>
      </c>
      <c r="K982" s="42">
        <v>6.6736979E-3</v>
      </c>
      <c r="L982" s="44">
        <v>5.4917877108999997</v>
      </c>
    </row>
    <row r="983" spans="1:12" hidden="1">
      <c r="A983" s="41" t="s">
        <v>1791</v>
      </c>
      <c r="B983" s="41"/>
      <c r="C983" s="41" t="s">
        <v>640</v>
      </c>
      <c r="D983" s="65">
        <v>12827</v>
      </c>
      <c r="E983" s="42">
        <v>2.4500000000000002</v>
      </c>
      <c r="F983" s="43">
        <v>3.8826529000000001</v>
      </c>
      <c r="G983" s="42">
        <v>0.38650212</v>
      </c>
      <c r="H983" s="42">
        <v>0.26233268999999998</v>
      </c>
      <c r="I983" s="42">
        <v>0.21100323000000001</v>
      </c>
      <c r="J983" s="42">
        <v>3.5969872999999999E-2</v>
      </c>
      <c r="K983" s="42">
        <v>6.6736979E-3</v>
      </c>
      <c r="L983" s="44">
        <v>4.7851345109000007</v>
      </c>
    </row>
    <row r="984" spans="1:12" hidden="1">
      <c r="A984" s="37" t="s">
        <v>1792</v>
      </c>
      <c r="B984" s="37"/>
      <c r="C984" s="37" t="s">
        <v>640</v>
      </c>
      <c r="D984" s="64">
        <v>12762</v>
      </c>
      <c r="E984" s="38">
        <v>2.4500000000000002</v>
      </c>
      <c r="F984" s="39">
        <v>7.4131470999999998</v>
      </c>
      <c r="G984" s="38">
        <v>0.29382051999999997</v>
      </c>
      <c r="H984" s="38">
        <v>0.26233268999999998</v>
      </c>
      <c r="I984" s="38">
        <v>0.21100323000000001</v>
      </c>
      <c r="J984" s="38">
        <v>3.5969872999999999E-2</v>
      </c>
      <c r="K984" s="38">
        <v>6.6736979E-3</v>
      </c>
      <c r="L984" s="40">
        <v>8.2229471108999999</v>
      </c>
    </row>
    <row r="985" spans="1:12" hidden="1">
      <c r="A985" s="41" t="s">
        <v>1793</v>
      </c>
      <c r="B985" s="41"/>
      <c r="C985" s="41" t="s">
        <v>640</v>
      </c>
      <c r="D985" s="65">
        <v>12747</v>
      </c>
      <c r="E985" s="42">
        <v>2.4500000000000002</v>
      </c>
      <c r="F985" s="43">
        <v>4.4232345999999998</v>
      </c>
      <c r="G985" s="42">
        <v>0.31393438000000001</v>
      </c>
      <c r="H985" s="42">
        <v>0.26233268999999998</v>
      </c>
      <c r="I985" s="42">
        <v>0.21100323000000001</v>
      </c>
      <c r="J985" s="42">
        <v>3.5969872999999999E-2</v>
      </c>
      <c r="K985" s="42">
        <v>6.6736979E-3</v>
      </c>
      <c r="L985" s="44">
        <v>5.2531484709000003</v>
      </c>
    </row>
    <row r="986" spans="1:12" hidden="1">
      <c r="A986" s="41" t="s">
        <v>1794</v>
      </c>
      <c r="B986" s="41"/>
      <c r="C986" s="41" t="s">
        <v>640</v>
      </c>
      <c r="D986" s="65">
        <v>12820</v>
      </c>
      <c r="E986" s="42">
        <v>2.4500000000000002</v>
      </c>
      <c r="F986" s="43">
        <v>6.7433312000000001</v>
      </c>
      <c r="G986" s="42">
        <v>0.29382051999999997</v>
      </c>
      <c r="H986" s="42">
        <v>0.26233268999999998</v>
      </c>
      <c r="I986" s="42">
        <v>0.21100323000000001</v>
      </c>
      <c r="J986" s="42">
        <v>3.5969872999999999E-2</v>
      </c>
      <c r="K986" s="42">
        <v>6.6736979E-3</v>
      </c>
      <c r="L986" s="44">
        <v>7.5531312109000002</v>
      </c>
    </row>
    <row r="987" spans="1:12" hidden="1">
      <c r="A987" s="41" t="s">
        <v>1795</v>
      </c>
      <c r="B987" s="41"/>
      <c r="C987" s="41" t="s">
        <v>640</v>
      </c>
      <c r="D987" s="65">
        <v>12814</v>
      </c>
      <c r="E987" s="42">
        <v>2.4500000000000002</v>
      </c>
      <c r="F987" s="43">
        <v>6.7433312000000001</v>
      </c>
      <c r="G987" s="42">
        <v>0.29382051999999997</v>
      </c>
      <c r="H987" s="42">
        <v>0.26233268999999998</v>
      </c>
      <c r="I987" s="42">
        <v>0.21100323000000001</v>
      </c>
      <c r="J987" s="42">
        <v>3.5969872999999999E-2</v>
      </c>
      <c r="K987" s="42">
        <v>6.6736979E-3</v>
      </c>
      <c r="L987" s="44">
        <v>7.5531312109000002</v>
      </c>
    </row>
    <row r="988" spans="1:12" hidden="1">
      <c r="A988" s="37" t="s">
        <v>1796</v>
      </c>
      <c r="B988" s="37"/>
      <c r="C988" s="37" t="s">
        <v>640</v>
      </c>
      <c r="D988" s="64">
        <v>12812</v>
      </c>
      <c r="E988" s="38">
        <v>2.11</v>
      </c>
      <c r="F988" s="39">
        <v>4.8376070999999996</v>
      </c>
      <c r="G988" s="38">
        <v>0.29382051999999997</v>
      </c>
      <c r="H988" s="38">
        <v>0.26233268999999998</v>
      </c>
      <c r="I988" s="38">
        <v>0.21100323000000001</v>
      </c>
      <c r="J988" s="38">
        <v>3.5969872999999999E-2</v>
      </c>
      <c r="K988" s="38">
        <v>6.6736979E-3</v>
      </c>
      <c r="L988" s="40">
        <v>5.6474071108999997</v>
      </c>
    </row>
    <row r="989" spans="1:12" hidden="1">
      <c r="A989" s="37" t="s">
        <v>1797</v>
      </c>
      <c r="B989" s="37"/>
      <c r="C989" s="37" t="s">
        <v>640</v>
      </c>
      <c r="D989" s="64">
        <v>12813</v>
      </c>
      <c r="E989" s="38">
        <v>2.54</v>
      </c>
      <c r="F989" s="39">
        <v>5.3506866999999998</v>
      </c>
      <c r="G989" s="38">
        <v>0.29382051999999997</v>
      </c>
      <c r="H989" s="38">
        <v>0.26233268999999998</v>
      </c>
      <c r="I989" s="38">
        <v>0.21100323000000001</v>
      </c>
      <c r="J989" s="38">
        <v>3.5969872999999999E-2</v>
      </c>
      <c r="K989" s="38">
        <v>6.6736979E-3</v>
      </c>
      <c r="L989" s="40">
        <v>6.1604867108999999</v>
      </c>
    </row>
    <row r="990" spans="1:12" hidden="1">
      <c r="A990" s="37" t="s">
        <v>1798</v>
      </c>
      <c r="B990" s="37"/>
      <c r="C990" s="37" t="s">
        <v>640</v>
      </c>
      <c r="D990" s="64">
        <v>12810</v>
      </c>
      <c r="E990" s="38">
        <v>2.4500000000000002</v>
      </c>
      <c r="F990" s="39">
        <v>5.0658656000000004</v>
      </c>
      <c r="G990" s="38">
        <v>0.40701039999999999</v>
      </c>
      <c r="H990" s="38">
        <v>0.26233268999999998</v>
      </c>
      <c r="I990" s="38">
        <v>0.21100323000000001</v>
      </c>
      <c r="J990" s="38">
        <v>3.5969872999999999E-2</v>
      </c>
      <c r="K990" s="38">
        <v>6.6736979E-3</v>
      </c>
      <c r="L990" s="40">
        <v>5.9888554909000007</v>
      </c>
    </row>
    <row r="991" spans="1:12" hidden="1">
      <c r="A991" s="37" t="s">
        <v>1799</v>
      </c>
      <c r="B991" s="37"/>
      <c r="C991" s="37" t="s">
        <v>640</v>
      </c>
      <c r="D991" s="64">
        <v>12804</v>
      </c>
      <c r="E991" s="38">
        <v>2.4500000000000002</v>
      </c>
      <c r="F991" s="39">
        <v>4.3245275999999997</v>
      </c>
      <c r="G991" s="38">
        <v>0.29382051999999997</v>
      </c>
      <c r="H991" s="38">
        <v>0.26233268999999998</v>
      </c>
      <c r="I991" s="38">
        <v>0.21100487000000001</v>
      </c>
      <c r="J991" s="38">
        <v>3.5969872999999999E-2</v>
      </c>
      <c r="K991" s="38">
        <v>6.6736979E-3</v>
      </c>
      <c r="L991" s="40">
        <v>5.1343292508999996</v>
      </c>
    </row>
    <row r="992" spans="1:12" hidden="1">
      <c r="A992" s="37" t="s">
        <v>1800</v>
      </c>
      <c r="B992" s="37"/>
      <c r="C992" s="37" t="s">
        <v>640</v>
      </c>
      <c r="D992" s="64">
        <v>12800</v>
      </c>
      <c r="E992" s="38">
        <v>2.4500000000000002</v>
      </c>
      <c r="F992" s="39">
        <v>5.3506866999999998</v>
      </c>
      <c r="G992" s="38">
        <v>0.29382051999999997</v>
      </c>
      <c r="H992" s="38">
        <v>0.26233268999999998</v>
      </c>
      <c r="I992" s="38">
        <v>0.21100487000000001</v>
      </c>
      <c r="J992" s="38">
        <v>3.5969872999999999E-2</v>
      </c>
      <c r="K992" s="38">
        <v>6.6736979E-3</v>
      </c>
      <c r="L992" s="40">
        <v>6.1604883508999997</v>
      </c>
    </row>
    <row r="993" spans="1:12" hidden="1">
      <c r="A993" s="37" t="s">
        <v>1801</v>
      </c>
      <c r="B993" s="37"/>
      <c r="C993" s="37" t="s">
        <v>640</v>
      </c>
      <c r="D993" s="64">
        <v>12805</v>
      </c>
      <c r="E993" s="38">
        <v>2.4500000000000002</v>
      </c>
      <c r="F993" s="39">
        <v>4.9109042000000001</v>
      </c>
      <c r="G993" s="38">
        <v>0.29382051999999997</v>
      </c>
      <c r="H993" s="38">
        <v>0.26233268999999998</v>
      </c>
      <c r="I993" s="38">
        <v>0.21100487000000001</v>
      </c>
      <c r="J993" s="38">
        <v>3.5969872999999999E-2</v>
      </c>
      <c r="K993" s="38">
        <v>6.6736979E-3</v>
      </c>
      <c r="L993" s="40">
        <v>5.7207058508999999</v>
      </c>
    </row>
    <row r="994" spans="1:12" hidden="1">
      <c r="A994" s="37" t="s">
        <v>1802</v>
      </c>
      <c r="B994" s="37"/>
      <c r="C994" s="37" t="s">
        <v>640</v>
      </c>
      <c r="D994" s="64">
        <v>12803</v>
      </c>
      <c r="E994" s="38">
        <v>2.4500000000000002</v>
      </c>
      <c r="F994" s="39">
        <v>5.3506866999999998</v>
      </c>
      <c r="G994" s="38">
        <v>0.29382051999999997</v>
      </c>
      <c r="H994" s="38">
        <v>0.26233268999999998</v>
      </c>
      <c r="I994" s="38">
        <v>0.21100323000000001</v>
      </c>
      <c r="J994" s="38">
        <v>3.5969872999999999E-2</v>
      </c>
      <c r="K994" s="38">
        <v>6.6736979E-3</v>
      </c>
      <c r="L994" s="40">
        <v>6.1604867108999999</v>
      </c>
    </row>
    <row r="995" spans="1:12" hidden="1">
      <c r="A995" s="37" t="s">
        <v>1803</v>
      </c>
      <c r="B995" s="37"/>
      <c r="C995" s="37" t="s">
        <v>640</v>
      </c>
      <c r="D995" s="64">
        <v>12801</v>
      </c>
      <c r="E995" s="38">
        <v>2.4500000000000002</v>
      </c>
      <c r="F995" s="39">
        <v>5.5705779</v>
      </c>
      <c r="G995" s="38">
        <v>0.29382051999999997</v>
      </c>
      <c r="H995" s="38">
        <v>0.26233268999999998</v>
      </c>
      <c r="I995" s="38">
        <v>0.21100323000000001</v>
      </c>
      <c r="J995" s="38">
        <v>3.5969872999999999E-2</v>
      </c>
      <c r="K995" s="38">
        <v>6.6736979E-3</v>
      </c>
      <c r="L995" s="40">
        <v>6.3803779109000001</v>
      </c>
    </row>
    <row r="996" spans="1:12" hidden="1">
      <c r="A996" s="37" t="s">
        <v>1804</v>
      </c>
      <c r="B996" s="37"/>
      <c r="C996" s="37" t="s">
        <v>640</v>
      </c>
      <c r="D996" s="64">
        <v>12802</v>
      </c>
      <c r="E996" s="38">
        <v>2.4500000000000002</v>
      </c>
      <c r="F996" s="39">
        <v>5.3506866999999998</v>
      </c>
      <c r="G996" s="38">
        <v>0.29382051999999997</v>
      </c>
      <c r="H996" s="38">
        <v>0.26233268999999998</v>
      </c>
      <c r="I996" s="38">
        <v>0.21100323000000001</v>
      </c>
      <c r="J996" s="38">
        <v>3.5969872999999999E-2</v>
      </c>
      <c r="K996" s="38">
        <v>6.6736979E-3</v>
      </c>
      <c r="L996" s="40">
        <v>6.1604867108999999</v>
      </c>
    </row>
    <row r="997" spans="1:12" hidden="1">
      <c r="A997" s="37" t="s">
        <v>1805</v>
      </c>
      <c r="B997" s="37"/>
      <c r="C997" s="37" t="s">
        <v>640</v>
      </c>
      <c r="D997" s="64">
        <v>12815</v>
      </c>
      <c r="E997" s="38">
        <v>2.4500000000000002</v>
      </c>
      <c r="F997" s="39">
        <v>4.8918268999999999</v>
      </c>
      <c r="G997" s="38">
        <v>0.29815878000000001</v>
      </c>
      <c r="H997" s="38">
        <v>0.26233268999999998</v>
      </c>
      <c r="I997" s="38">
        <v>0.21100323000000001</v>
      </c>
      <c r="J997" s="38">
        <v>3.5969872999999999E-2</v>
      </c>
      <c r="K997" s="38">
        <v>6.6736979E-3</v>
      </c>
      <c r="L997" s="40">
        <v>5.7059651708999999</v>
      </c>
    </row>
    <row r="998" spans="1:12" hidden="1">
      <c r="A998" s="37" t="s">
        <v>1806</v>
      </c>
      <c r="B998" s="37"/>
      <c r="C998" s="37" t="s">
        <v>631</v>
      </c>
      <c r="D998" s="64">
        <v>8400</v>
      </c>
      <c r="E998" s="38">
        <v>2.34</v>
      </c>
      <c r="F998" s="39">
        <v>3.9161234999999999</v>
      </c>
      <c r="G998" s="38">
        <v>0.36944839000000002</v>
      </c>
      <c r="H998" s="38">
        <v>0.29199360000000002</v>
      </c>
      <c r="I998" s="38">
        <v>0.19989903000000001</v>
      </c>
      <c r="J998" s="38">
        <v>3.7353873000000003E-2</v>
      </c>
      <c r="K998" s="38">
        <v>6.6736979E-3</v>
      </c>
      <c r="L998" s="40">
        <v>4.8214920908999996</v>
      </c>
    </row>
    <row r="999" spans="1:12" hidden="1">
      <c r="A999" s="41" t="s">
        <v>1807</v>
      </c>
      <c r="B999" s="41"/>
      <c r="C999" s="41" t="s">
        <v>640</v>
      </c>
      <c r="D999" s="65">
        <v>12320</v>
      </c>
      <c r="E999" s="42">
        <v>1.88</v>
      </c>
      <c r="F999" s="43">
        <v>4.3881167999999997</v>
      </c>
      <c r="G999" s="42">
        <v>0.26335405000000001</v>
      </c>
      <c r="H999" s="42">
        <v>0.26233268999999998</v>
      </c>
      <c r="I999" s="42">
        <v>0.21100323000000001</v>
      </c>
      <c r="J999" s="42">
        <v>3.5969872999999999E-2</v>
      </c>
      <c r="K999" s="42">
        <v>6.6736979E-3</v>
      </c>
      <c r="L999" s="44">
        <v>5.1674503409000003</v>
      </c>
    </row>
    <row r="1000" spans="1:12" hidden="1">
      <c r="A1000" s="41" t="s">
        <v>1808</v>
      </c>
      <c r="B1000" s="41"/>
      <c r="C1000" s="41" t="s">
        <v>640</v>
      </c>
      <c r="D1000" s="65">
        <v>12310</v>
      </c>
      <c r="E1000" s="42">
        <v>2.2400000000000002</v>
      </c>
      <c r="F1000" s="43">
        <v>4.3881167999999997</v>
      </c>
      <c r="G1000" s="42">
        <v>0.26335405000000001</v>
      </c>
      <c r="H1000" s="42">
        <v>0.26233268999999998</v>
      </c>
      <c r="I1000" s="42">
        <v>0.21100323000000001</v>
      </c>
      <c r="J1000" s="42">
        <v>3.5969872999999999E-2</v>
      </c>
      <c r="K1000" s="42">
        <v>6.6736979E-3</v>
      </c>
      <c r="L1000" s="44">
        <v>5.1674503409000003</v>
      </c>
    </row>
    <row r="1001" spans="1:12" hidden="1">
      <c r="A1001" s="41" t="s">
        <v>1809</v>
      </c>
      <c r="B1001" s="41"/>
      <c r="C1001" s="41" t="s">
        <v>640</v>
      </c>
      <c r="D1001" s="65">
        <v>12300</v>
      </c>
      <c r="E1001" s="42">
        <v>1.88</v>
      </c>
      <c r="F1001" s="43">
        <v>4.3881167999999997</v>
      </c>
      <c r="G1001" s="42">
        <v>0.26335405000000001</v>
      </c>
      <c r="H1001" s="42">
        <v>0.26233268999999998</v>
      </c>
      <c r="I1001" s="42">
        <v>0.21100323000000001</v>
      </c>
      <c r="J1001" s="42">
        <v>3.5969872999999999E-2</v>
      </c>
      <c r="K1001" s="42">
        <v>6.6736979E-3</v>
      </c>
      <c r="L1001" s="44">
        <v>5.1674503409000003</v>
      </c>
    </row>
    <row r="1002" spans="1:12" hidden="1">
      <c r="A1002" s="37" t="s">
        <v>1810</v>
      </c>
      <c r="B1002" s="37"/>
      <c r="C1002" s="37" t="s">
        <v>1085</v>
      </c>
      <c r="D1002" s="64">
        <v>19667</v>
      </c>
      <c r="E1002" s="38">
        <v>3.88</v>
      </c>
      <c r="F1002" s="39">
        <v>1.2509106000000001</v>
      </c>
      <c r="G1002" s="38">
        <v>0.12902031</v>
      </c>
      <c r="H1002" s="38">
        <v>0.18031662000000001</v>
      </c>
      <c r="I1002" s="38">
        <v>0.18373555999999999</v>
      </c>
      <c r="J1002" s="38">
        <v>3.5969872999999999E-2</v>
      </c>
      <c r="K1002" s="38">
        <v>6.6736979E-3</v>
      </c>
      <c r="L1002" s="40">
        <v>1.7866266608999999</v>
      </c>
    </row>
    <row r="1003" spans="1:12" hidden="1">
      <c r="A1003" s="37" t="s">
        <v>1811</v>
      </c>
      <c r="B1003" s="37"/>
      <c r="C1003" s="37" t="s">
        <v>1085</v>
      </c>
      <c r="D1003" s="64">
        <v>19661</v>
      </c>
      <c r="E1003" s="38">
        <v>3.88</v>
      </c>
      <c r="F1003" s="39">
        <v>1.2509106000000001</v>
      </c>
      <c r="G1003" s="38">
        <v>0.12902031</v>
      </c>
      <c r="H1003" s="38">
        <v>0.18031662000000001</v>
      </c>
      <c r="I1003" s="38">
        <v>0.18373555999999999</v>
      </c>
      <c r="J1003" s="38">
        <v>3.5969872999999999E-2</v>
      </c>
      <c r="K1003" s="38">
        <v>6.6736979E-3</v>
      </c>
      <c r="L1003" s="40">
        <v>1.7866266608999999</v>
      </c>
    </row>
    <row r="1004" spans="1:12" hidden="1">
      <c r="A1004" s="37" t="s">
        <v>1812</v>
      </c>
      <c r="B1004" s="37"/>
      <c r="C1004" s="37" t="s">
        <v>1085</v>
      </c>
      <c r="D1004" s="64">
        <v>19662</v>
      </c>
      <c r="E1004" s="38">
        <v>3.88</v>
      </c>
      <c r="F1004" s="39">
        <v>1.2509106000000001</v>
      </c>
      <c r="G1004" s="38">
        <v>0.12902031</v>
      </c>
      <c r="H1004" s="38">
        <v>0.18031662000000001</v>
      </c>
      <c r="I1004" s="38">
        <v>0.18373555999999999</v>
      </c>
      <c r="J1004" s="38">
        <v>3.5969872999999999E-2</v>
      </c>
      <c r="K1004" s="38">
        <v>6.6736979E-3</v>
      </c>
      <c r="L1004" s="40">
        <v>1.7866266608999999</v>
      </c>
    </row>
    <row r="1005" spans="1:12" hidden="1">
      <c r="A1005" s="37" t="s">
        <v>1813</v>
      </c>
      <c r="B1005" s="37"/>
      <c r="C1005" s="37" t="s">
        <v>1085</v>
      </c>
      <c r="D1005" s="64">
        <v>19663</v>
      </c>
      <c r="E1005" s="38">
        <v>3.48</v>
      </c>
      <c r="F1005" s="39">
        <v>1.0627205</v>
      </c>
      <c r="G1005" s="38">
        <v>0.12902031</v>
      </c>
      <c r="H1005" s="38">
        <v>0.18031662000000001</v>
      </c>
      <c r="I1005" s="38">
        <v>0.18373555999999999</v>
      </c>
      <c r="J1005" s="38">
        <v>3.5969872999999999E-2</v>
      </c>
      <c r="K1005" s="38">
        <v>6.6736979E-3</v>
      </c>
      <c r="L1005" s="40">
        <v>1.5984365608999997</v>
      </c>
    </row>
    <row r="1006" spans="1:12" hidden="1">
      <c r="A1006" s="37" t="s">
        <v>1814</v>
      </c>
      <c r="B1006" s="37"/>
      <c r="C1006" s="37" t="s">
        <v>1085</v>
      </c>
      <c r="D1006" s="64">
        <v>19666</v>
      </c>
      <c r="E1006" s="38">
        <v>3.48</v>
      </c>
      <c r="F1006" s="39">
        <v>1.7933408</v>
      </c>
      <c r="G1006" s="38">
        <v>0.12902031</v>
      </c>
      <c r="H1006" s="38">
        <v>0.18031662000000001</v>
      </c>
      <c r="I1006" s="38">
        <v>0.18373555999999999</v>
      </c>
      <c r="J1006" s="38">
        <v>3.5969872999999999E-2</v>
      </c>
      <c r="K1006" s="38">
        <v>6.6736979E-3</v>
      </c>
      <c r="L1006" s="40">
        <v>2.3290568609000002</v>
      </c>
    </row>
    <row r="1007" spans="1:12" hidden="1">
      <c r="A1007" s="37" t="s">
        <v>1815</v>
      </c>
      <c r="B1007" s="37"/>
      <c r="C1007" s="37" t="s">
        <v>1085</v>
      </c>
      <c r="D1007" s="64">
        <v>19664</v>
      </c>
      <c r="E1007" s="38">
        <v>3.48</v>
      </c>
      <c r="F1007" s="39">
        <v>1.3505406</v>
      </c>
      <c r="G1007" s="38">
        <v>0.12902031</v>
      </c>
      <c r="H1007" s="38">
        <v>0.18031662000000001</v>
      </c>
      <c r="I1007" s="38">
        <v>0.18373555999999999</v>
      </c>
      <c r="J1007" s="38">
        <v>3.5969872999999999E-2</v>
      </c>
      <c r="K1007" s="38">
        <v>6.6736979E-3</v>
      </c>
      <c r="L1007" s="40">
        <v>1.8862566608999998</v>
      </c>
    </row>
    <row r="1008" spans="1:12" hidden="1">
      <c r="A1008" s="37" t="s">
        <v>1816</v>
      </c>
      <c r="B1008" s="37"/>
      <c r="C1008" s="37" t="s">
        <v>811</v>
      </c>
      <c r="D1008" s="64">
        <v>25546</v>
      </c>
      <c r="E1008" s="38">
        <v>1.82</v>
      </c>
      <c r="F1008" s="39">
        <v>4.3271804999999999</v>
      </c>
      <c r="G1008" s="38">
        <v>0.44835524999999998</v>
      </c>
      <c r="H1008" s="38">
        <v>0.10406709</v>
      </c>
      <c r="I1008" s="38">
        <v>0.22294976</v>
      </c>
      <c r="J1008" s="38">
        <v>3.7768032999999999E-2</v>
      </c>
      <c r="K1008" s="38">
        <v>1.7696322E-2</v>
      </c>
      <c r="L1008" s="40">
        <v>5.158016954999999</v>
      </c>
    </row>
    <row r="1009" spans="1:12" hidden="1">
      <c r="A1009" s="41" t="s">
        <v>1817</v>
      </c>
      <c r="B1009" s="41"/>
      <c r="C1009" s="41" t="s">
        <v>640</v>
      </c>
      <c r="D1009" s="65">
        <v>12009</v>
      </c>
      <c r="E1009" s="42">
        <v>2.2400000000000002</v>
      </c>
      <c r="F1009" s="43">
        <v>4.1313259000000002</v>
      </c>
      <c r="G1009" s="42">
        <v>0.27810902999999998</v>
      </c>
      <c r="H1009" s="42">
        <v>0.26233268999999998</v>
      </c>
      <c r="I1009" s="42">
        <v>0.21100323000000001</v>
      </c>
      <c r="J1009" s="42">
        <v>3.5969872999999999E-2</v>
      </c>
      <c r="K1009" s="42">
        <v>6.6736979E-3</v>
      </c>
      <c r="L1009" s="44">
        <v>4.9254144209000001</v>
      </c>
    </row>
    <row r="1010" spans="1:12" hidden="1">
      <c r="A1010" s="41" t="s">
        <v>1818</v>
      </c>
      <c r="B1010" s="41"/>
      <c r="C1010" s="41" t="s">
        <v>640</v>
      </c>
      <c r="D1010" s="65">
        <v>12012</v>
      </c>
      <c r="E1010" s="42">
        <v>2.2400000000000002</v>
      </c>
      <c r="F1010" s="43">
        <v>4.1801446000000002</v>
      </c>
      <c r="G1010" s="42">
        <v>0.27497917999999999</v>
      </c>
      <c r="H1010" s="42">
        <v>0.26233268999999998</v>
      </c>
      <c r="I1010" s="42">
        <v>0.21100323000000001</v>
      </c>
      <c r="J1010" s="42">
        <v>3.5969872999999999E-2</v>
      </c>
      <c r="K1010" s="42">
        <v>6.6736979E-3</v>
      </c>
      <c r="L1010" s="44">
        <v>4.9711032709000005</v>
      </c>
    </row>
    <row r="1011" spans="1:12" hidden="1">
      <c r="A1011" s="41" t="s">
        <v>1819</v>
      </c>
      <c r="B1011" s="41"/>
      <c r="C1011" s="41" t="s">
        <v>640</v>
      </c>
      <c r="D1011" s="65">
        <v>12013</v>
      </c>
      <c r="E1011" s="42">
        <v>2.2400000000000002</v>
      </c>
      <c r="F1011" s="43">
        <v>4.2070667999999998</v>
      </c>
      <c r="G1011" s="42">
        <v>0.27319070000000001</v>
      </c>
      <c r="H1011" s="42">
        <v>0.26233268999999998</v>
      </c>
      <c r="I1011" s="42">
        <v>0.21100323000000001</v>
      </c>
      <c r="J1011" s="42">
        <v>3.5969872999999999E-2</v>
      </c>
      <c r="K1011" s="42">
        <v>6.6736979E-3</v>
      </c>
      <c r="L1011" s="44">
        <v>4.9962369909</v>
      </c>
    </row>
    <row r="1012" spans="1:12" hidden="1">
      <c r="A1012" s="37" t="s">
        <v>1820</v>
      </c>
      <c r="B1012" s="37"/>
      <c r="C1012" s="37" t="s">
        <v>640</v>
      </c>
      <c r="D1012" s="64">
        <v>12060</v>
      </c>
      <c r="E1012" s="38">
        <v>2.2400000000000002</v>
      </c>
      <c r="F1012" s="39">
        <v>4.3101063999999996</v>
      </c>
      <c r="G1012" s="38">
        <v>0.26782525000000001</v>
      </c>
      <c r="H1012" s="38">
        <v>0.26233268999999998</v>
      </c>
      <c r="I1012" s="38">
        <v>0.21100323000000001</v>
      </c>
      <c r="J1012" s="38">
        <v>3.5969872999999999E-2</v>
      </c>
      <c r="K1012" s="38">
        <v>6.6736979E-3</v>
      </c>
      <c r="L1012" s="40">
        <v>5.0939111409000004</v>
      </c>
    </row>
    <row r="1013" spans="1:12" hidden="1">
      <c r="A1013" s="37" t="s">
        <v>1821</v>
      </c>
      <c r="B1013" s="37"/>
      <c r="C1013" s="37" t="s">
        <v>640</v>
      </c>
      <c r="D1013" s="64">
        <v>12063</v>
      </c>
      <c r="E1013" s="38">
        <v>2.2400000000000002</v>
      </c>
      <c r="F1013" s="39">
        <v>4.3101063999999996</v>
      </c>
      <c r="G1013" s="38">
        <v>0.26782525000000001</v>
      </c>
      <c r="H1013" s="38">
        <v>0.26233268999999998</v>
      </c>
      <c r="I1013" s="38">
        <v>0.21100323000000001</v>
      </c>
      <c r="J1013" s="38">
        <v>3.5969872999999999E-2</v>
      </c>
      <c r="K1013" s="38">
        <v>6.6736979E-3</v>
      </c>
      <c r="L1013" s="40">
        <v>5.0939111409000004</v>
      </c>
    </row>
    <row r="1014" spans="1:12" hidden="1">
      <c r="A1014" s="37" t="s">
        <v>1822</v>
      </c>
      <c r="B1014" s="37"/>
      <c r="C1014" s="37" t="s">
        <v>1647</v>
      </c>
      <c r="D1014" s="64">
        <v>31077</v>
      </c>
      <c r="E1014" s="38">
        <v>2.36</v>
      </c>
      <c r="F1014" s="39">
        <v>0</v>
      </c>
      <c r="G1014" s="38">
        <v>1.2744409000000001</v>
      </c>
      <c r="H1014" s="38">
        <v>6.3020385999999996E-3</v>
      </c>
      <c r="I1014" s="38">
        <v>0.10175495</v>
      </c>
      <c r="J1014" s="38">
        <v>1.7263204000000001E-2</v>
      </c>
      <c r="K1014" s="38">
        <v>0</v>
      </c>
      <c r="L1014" s="40">
        <v>1.3997610925999999</v>
      </c>
    </row>
    <row r="1015" spans="1:12" hidden="1">
      <c r="A1015" s="37" t="s">
        <v>1823</v>
      </c>
      <c r="B1015" s="37"/>
      <c r="C1015" s="37" t="s">
        <v>628</v>
      </c>
      <c r="D1015" s="64">
        <v>54500</v>
      </c>
      <c r="E1015" s="38">
        <v>2.6</v>
      </c>
      <c r="F1015" s="39">
        <v>0.1635442</v>
      </c>
      <c r="G1015" s="38">
        <v>0</v>
      </c>
      <c r="H1015" s="38">
        <v>0</v>
      </c>
      <c r="I1015" s="38">
        <v>0.16889214999999999</v>
      </c>
      <c r="J1015" s="38">
        <v>1.2217853000000001E-2</v>
      </c>
      <c r="K1015" s="38">
        <v>8.0351048999999994E-2</v>
      </c>
      <c r="L1015" s="40">
        <v>0.425005252</v>
      </c>
    </row>
    <row r="1016" spans="1:12" hidden="1">
      <c r="A1016" s="37" t="s">
        <v>1824</v>
      </c>
      <c r="B1016" s="37"/>
      <c r="C1016" s="37" t="s">
        <v>634</v>
      </c>
      <c r="D1016" s="64">
        <v>13016</v>
      </c>
      <c r="E1016" s="38">
        <v>3.01</v>
      </c>
      <c r="F1016" s="39">
        <v>0.52613809</v>
      </c>
      <c r="G1016" s="38">
        <v>0</v>
      </c>
      <c r="H1016" s="38">
        <v>0</v>
      </c>
      <c r="I1016" s="38">
        <v>0.27356253000000003</v>
      </c>
      <c r="J1016" s="38">
        <v>1.2765701000000001E-2</v>
      </c>
      <c r="K1016" s="38">
        <v>8.0351048999999994E-2</v>
      </c>
      <c r="L1016" s="40">
        <v>0.89281737000000005</v>
      </c>
    </row>
    <row r="1017" spans="1:12" hidden="1">
      <c r="A1017" s="41" t="s">
        <v>1825</v>
      </c>
      <c r="B1017" s="41"/>
      <c r="C1017" s="41" t="s">
        <v>634</v>
      </c>
      <c r="D1017" s="65">
        <v>13997</v>
      </c>
      <c r="E1017" s="42">
        <v>3.35</v>
      </c>
      <c r="F1017" s="43">
        <v>1.0250766</v>
      </c>
      <c r="G1017" s="42">
        <v>0</v>
      </c>
      <c r="H1017" s="42">
        <v>0</v>
      </c>
      <c r="I1017" s="42">
        <v>0.43445757000000002</v>
      </c>
      <c r="J1017" s="42">
        <v>5.5671528E-3</v>
      </c>
      <c r="K1017" s="42">
        <v>9.9362450999999994E-3</v>
      </c>
      <c r="L1017" s="44">
        <v>1.4750375679000001</v>
      </c>
    </row>
    <row r="1018" spans="1:12" hidden="1">
      <c r="A1018" s="41" t="s">
        <v>1826</v>
      </c>
      <c r="B1018" s="41"/>
      <c r="C1018" s="41" t="s">
        <v>784</v>
      </c>
      <c r="D1018" s="65">
        <v>20994</v>
      </c>
      <c r="E1018" s="42">
        <v>2.99</v>
      </c>
      <c r="F1018" s="43">
        <v>4.5528129000000002</v>
      </c>
      <c r="G1018" s="42">
        <v>1.4896054000000001</v>
      </c>
      <c r="H1018" s="42">
        <v>0.28987795999999999</v>
      </c>
      <c r="I1018" s="42">
        <v>0.19846865999999999</v>
      </c>
      <c r="J1018" s="42">
        <v>2.0039066000000001E-2</v>
      </c>
      <c r="K1018" s="42">
        <v>9.9403358999999997E-3</v>
      </c>
      <c r="L1018" s="44">
        <v>6.5607443218999997</v>
      </c>
    </row>
    <row r="1019" spans="1:12" hidden="1">
      <c r="A1019" s="37" t="s">
        <v>1827</v>
      </c>
      <c r="B1019" s="37"/>
      <c r="C1019" s="37" t="s">
        <v>1115</v>
      </c>
      <c r="D1019" s="64" t="s">
        <v>1828</v>
      </c>
      <c r="E1019" s="38">
        <v>1.8302686542429019</v>
      </c>
      <c r="F1019" s="39">
        <v>0.73846864999999995</v>
      </c>
      <c r="G1019" s="38">
        <v>0.39247684999999999</v>
      </c>
      <c r="H1019" s="38">
        <v>0.12990467999999999</v>
      </c>
      <c r="I1019" s="38">
        <v>0.15135407000000001</v>
      </c>
      <c r="J1019" s="38">
        <v>2.1290928000000001E-2</v>
      </c>
      <c r="K1019" s="38">
        <v>8.0094438000000004E-2</v>
      </c>
      <c r="L1019" s="40">
        <v>1.5135896159999997</v>
      </c>
    </row>
    <row r="1020" spans="1:12" hidden="1">
      <c r="A1020" s="41" t="s">
        <v>1829</v>
      </c>
      <c r="B1020" s="41"/>
      <c r="C1020" s="41" t="s">
        <v>861</v>
      </c>
      <c r="D1020" s="65">
        <v>7352</v>
      </c>
      <c r="E1020" s="42">
        <v>2.78</v>
      </c>
      <c r="F1020" s="43">
        <v>0.79937926999999998</v>
      </c>
      <c r="G1020" s="42">
        <v>0.15342421000000001</v>
      </c>
      <c r="H1020" s="42">
        <v>0.28118162000000002</v>
      </c>
      <c r="I1020" s="42">
        <v>0.18556919999999999</v>
      </c>
      <c r="J1020" s="42">
        <v>4.7861880000000002E-3</v>
      </c>
      <c r="K1020" s="42">
        <v>0</v>
      </c>
      <c r="L1020" s="44">
        <v>1.4243404879999999</v>
      </c>
    </row>
    <row r="1021" spans="1:12" hidden="1">
      <c r="A1021" s="37" t="s">
        <v>1830</v>
      </c>
      <c r="B1021" s="37"/>
      <c r="C1021" s="37" t="s">
        <v>668</v>
      </c>
      <c r="D1021" s="64">
        <v>23801</v>
      </c>
      <c r="E1021" s="38">
        <v>2.63</v>
      </c>
      <c r="F1021" s="39">
        <v>0.29268095</v>
      </c>
      <c r="G1021" s="38">
        <v>0.15630182000000001</v>
      </c>
      <c r="H1021" s="38">
        <v>0.28118162000000002</v>
      </c>
      <c r="I1021" s="38">
        <v>0.15473458000000001</v>
      </c>
      <c r="J1021" s="38">
        <v>1.9437894000000001E-2</v>
      </c>
      <c r="K1021" s="38">
        <v>0</v>
      </c>
      <c r="L1021" s="40">
        <v>0.90433686400000002</v>
      </c>
    </row>
    <row r="1022" spans="1:12" hidden="1">
      <c r="A1022" s="41" t="s">
        <v>1831</v>
      </c>
      <c r="B1022" s="41"/>
      <c r="C1022" s="41" t="s">
        <v>668</v>
      </c>
      <c r="D1022" s="65">
        <v>23680</v>
      </c>
      <c r="E1022" s="42">
        <v>2.79</v>
      </c>
      <c r="F1022" s="43">
        <v>2.9738137999999998</v>
      </c>
      <c r="G1022" s="42">
        <v>0.23880814</v>
      </c>
      <c r="H1022" s="42">
        <v>0.28782327000000002</v>
      </c>
      <c r="I1022" s="42">
        <v>0.16766640999999999</v>
      </c>
      <c r="J1022" s="42">
        <v>1.9437894000000001E-2</v>
      </c>
      <c r="K1022" s="42">
        <v>0</v>
      </c>
      <c r="L1022" s="44">
        <v>3.6875495140000001</v>
      </c>
    </row>
    <row r="1023" spans="1:12" hidden="1">
      <c r="A1023" s="41" t="s">
        <v>1832</v>
      </c>
      <c r="B1023" s="41"/>
      <c r="C1023" s="41" t="s">
        <v>668</v>
      </c>
      <c r="D1023" s="65">
        <v>23684</v>
      </c>
      <c r="E1023" s="42">
        <v>2.59</v>
      </c>
      <c r="F1023" s="43">
        <v>2.9738137999999998</v>
      </c>
      <c r="G1023" s="42">
        <v>0.23880814</v>
      </c>
      <c r="H1023" s="42">
        <v>0.28782327000000002</v>
      </c>
      <c r="I1023" s="42">
        <v>0.16766640999999999</v>
      </c>
      <c r="J1023" s="42">
        <v>1.9437894000000001E-2</v>
      </c>
      <c r="K1023" s="42">
        <v>0</v>
      </c>
      <c r="L1023" s="44">
        <v>3.6875495140000001</v>
      </c>
    </row>
    <row r="1024" spans="1:12" hidden="1">
      <c r="A1024" s="37" t="s">
        <v>1833</v>
      </c>
      <c r="B1024" s="37"/>
      <c r="C1024" s="37" t="s">
        <v>1115</v>
      </c>
      <c r="D1024" s="64" t="s">
        <v>1834</v>
      </c>
      <c r="E1024" s="38">
        <v>1.9639514706612098</v>
      </c>
      <c r="F1024" s="39">
        <v>0.30638541000000002</v>
      </c>
      <c r="G1024" s="38">
        <v>0.93358593000000001</v>
      </c>
      <c r="H1024" s="38">
        <v>0.23319340999999999</v>
      </c>
      <c r="I1024" s="38">
        <v>0.23064683</v>
      </c>
      <c r="J1024" s="38">
        <v>4.7188551000000002E-2</v>
      </c>
      <c r="K1024" s="38">
        <v>8.8525082000000005E-2</v>
      </c>
      <c r="L1024" s="40">
        <v>1.8395252130000002</v>
      </c>
    </row>
    <row r="1025" spans="1:12" hidden="1">
      <c r="A1025" s="41" t="s">
        <v>1835</v>
      </c>
      <c r="B1025" s="41"/>
      <c r="C1025" s="41" t="s">
        <v>1115</v>
      </c>
      <c r="D1025" s="65" t="s">
        <v>1836</v>
      </c>
      <c r="E1025" s="42">
        <v>1.9639514706612098</v>
      </c>
      <c r="F1025" s="43">
        <v>2.3453867E-2</v>
      </c>
      <c r="G1025" s="42">
        <v>1.1323477</v>
      </c>
      <c r="H1025" s="42">
        <v>0.23319340999999999</v>
      </c>
      <c r="I1025" s="42">
        <v>0.24233590999999999</v>
      </c>
      <c r="J1025" s="42">
        <v>4.7188551000000002E-2</v>
      </c>
      <c r="K1025" s="42">
        <v>8.8525082000000005E-2</v>
      </c>
      <c r="L1025" s="44">
        <v>1.76704452</v>
      </c>
    </row>
    <row r="1026" spans="1:12" hidden="1">
      <c r="A1026" s="41" t="s">
        <v>1837</v>
      </c>
      <c r="B1026" s="41"/>
      <c r="C1026" s="41" t="s">
        <v>861</v>
      </c>
      <c r="D1026" s="65">
        <v>7353</v>
      </c>
      <c r="E1026" s="42">
        <v>2.4</v>
      </c>
      <c r="F1026" s="43">
        <v>0.79937926999999998</v>
      </c>
      <c r="G1026" s="42">
        <v>0.15342421000000001</v>
      </c>
      <c r="H1026" s="42">
        <v>0.28118162000000002</v>
      </c>
      <c r="I1026" s="42">
        <v>0.18556919999999999</v>
      </c>
      <c r="J1026" s="42">
        <v>4.7861880000000002E-3</v>
      </c>
      <c r="K1026" s="42">
        <v>0</v>
      </c>
      <c r="L1026" s="44">
        <v>1.4243404879999999</v>
      </c>
    </row>
    <row r="1027" spans="1:12" hidden="1">
      <c r="A1027" s="37" t="s">
        <v>1838</v>
      </c>
      <c r="B1027" s="37"/>
      <c r="C1027" s="37" t="s">
        <v>668</v>
      </c>
      <c r="D1027" s="64">
        <v>23585</v>
      </c>
      <c r="E1027" s="38">
        <v>2.4</v>
      </c>
      <c r="F1027" s="39">
        <v>6.8027761</v>
      </c>
      <c r="G1027" s="38">
        <v>0.45286536999999999</v>
      </c>
      <c r="H1027" s="38">
        <v>0.28779105999999999</v>
      </c>
      <c r="I1027" s="38">
        <v>0.22039331000000001</v>
      </c>
      <c r="J1027" s="38">
        <v>1.9437894000000001E-2</v>
      </c>
      <c r="K1027" s="38">
        <v>0</v>
      </c>
      <c r="L1027" s="40">
        <v>7.7832637340000002</v>
      </c>
    </row>
    <row r="1028" spans="1:12" hidden="1">
      <c r="A1028" s="41" t="s">
        <v>1839</v>
      </c>
      <c r="B1028" s="41"/>
      <c r="C1028" s="41" t="s">
        <v>668</v>
      </c>
      <c r="D1028" s="65">
        <v>23006</v>
      </c>
      <c r="E1028" s="42">
        <v>3.03</v>
      </c>
      <c r="F1028" s="43">
        <v>2.1255234999999999</v>
      </c>
      <c r="G1028" s="42">
        <v>0.29701685</v>
      </c>
      <c r="H1028" s="42">
        <v>0.28781929000000001</v>
      </c>
      <c r="I1028" s="42">
        <v>0.15283654999999999</v>
      </c>
      <c r="J1028" s="42">
        <v>1.9437894000000001E-2</v>
      </c>
      <c r="K1028" s="42">
        <v>0</v>
      </c>
      <c r="L1028" s="44">
        <v>2.8826340839999998</v>
      </c>
    </row>
    <row r="1029" spans="1:12" hidden="1">
      <c r="A1029" s="37" t="s">
        <v>1840</v>
      </c>
      <c r="B1029" s="37"/>
      <c r="C1029" s="37" t="s">
        <v>1085</v>
      </c>
      <c r="D1029" s="64">
        <v>39234</v>
      </c>
      <c r="E1029" s="38">
        <v>2.41</v>
      </c>
      <c r="F1029" s="39">
        <v>6.9959587000000001</v>
      </c>
      <c r="G1029" s="38">
        <v>0.32088454999999999</v>
      </c>
      <c r="H1029" s="38">
        <v>0.1855108</v>
      </c>
      <c r="I1029" s="38">
        <v>0.29767114</v>
      </c>
      <c r="J1029" s="38">
        <v>3.7768032999999999E-2</v>
      </c>
      <c r="K1029" s="38">
        <v>6.6736979E-3</v>
      </c>
      <c r="L1029" s="40">
        <v>7.8444669209000004</v>
      </c>
    </row>
    <row r="1030" spans="1:12" hidden="1">
      <c r="A1030" s="37" t="s">
        <v>1841</v>
      </c>
      <c r="B1030" s="37"/>
      <c r="C1030" s="37" t="s">
        <v>668</v>
      </c>
      <c r="D1030" s="64">
        <v>23103</v>
      </c>
      <c r="E1030" s="38">
        <v>2.62</v>
      </c>
      <c r="F1030" s="39">
        <v>0.84594367999999998</v>
      </c>
      <c r="G1030" s="38">
        <v>0.39274052999999998</v>
      </c>
      <c r="H1030" s="38">
        <v>0.28782703999999998</v>
      </c>
      <c r="I1030" s="38">
        <v>0.15956945</v>
      </c>
      <c r="J1030" s="38">
        <v>1.9437894000000001E-2</v>
      </c>
      <c r="K1030" s="38">
        <v>0</v>
      </c>
      <c r="L1030" s="40">
        <v>1.7055185939999999</v>
      </c>
    </row>
    <row r="1031" spans="1:12" hidden="1">
      <c r="A1031" s="37" t="s">
        <v>1842</v>
      </c>
      <c r="B1031" s="37"/>
      <c r="C1031" s="37" t="s">
        <v>668</v>
      </c>
      <c r="D1031" s="64">
        <v>23589</v>
      </c>
      <c r="E1031" s="38">
        <v>2.67</v>
      </c>
      <c r="F1031" s="39">
        <v>1.0497559999999999</v>
      </c>
      <c r="G1031" s="38">
        <v>0.39257842999999998</v>
      </c>
      <c r="H1031" s="38">
        <v>0.28782808999999998</v>
      </c>
      <c r="I1031" s="38">
        <v>0.15240169000000001</v>
      </c>
      <c r="J1031" s="38">
        <v>1.9437894000000001E-2</v>
      </c>
      <c r="K1031" s="38">
        <v>0</v>
      </c>
      <c r="L1031" s="40">
        <v>1.9020021039999999</v>
      </c>
    </row>
    <row r="1032" spans="1:12" hidden="1">
      <c r="A1032" s="41" t="s">
        <v>1843</v>
      </c>
      <c r="B1032" s="41"/>
      <c r="C1032" s="41" t="s">
        <v>668</v>
      </c>
      <c r="D1032" s="65">
        <v>23588</v>
      </c>
      <c r="E1032" s="42">
        <v>2.27</v>
      </c>
      <c r="F1032" s="43">
        <v>1.0497559999999999</v>
      </c>
      <c r="G1032" s="42">
        <v>0.39257842999999998</v>
      </c>
      <c r="H1032" s="42">
        <v>0.28782808999999998</v>
      </c>
      <c r="I1032" s="42">
        <v>0.15240169000000001</v>
      </c>
      <c r="J1032" s="42">
        <v>1.9437894000000001E-2</v>
      </c>
      <c r="K1032" s="42">
        <v>0</v>
      </c>
      <c r="L1032" s="44">
        <v>1.9020021039999999</v>
      </c>
    </row>
    <row r="1033" spans="1:12" hidden="1">
      <c r="A1033" s="37" t="s">
        <v>1844</v>
      </c>
      <c r="B1033" s="37"/>
      <c r="C1033" s="37" t="s">
        <v>668</v>
      </c>
      <c r="D1033" s="64">
        <v>24664</v>
      </c>
      <c r="E1033" s="38">
        <v>2.59</v>
      </c>
      <c r="F1033" s="39">
        <v>3.0060481999999999</v>
      </c>
      <c r="G1033" s="38">
        <v>0.26410781999999999</v>
      </c>
      <c r="H1033" s="38">
        <v>0.28779479000000002</v>
      </c>
      <c r="I1033" s="38">
        <v>0.17302113</v>
      </c>
      <c r="J1033" s="38">
        <v>1.9437894000000001E-2</v>
      </c>
      <c r="K1033" s="38">
        <v>0</v>
      </c>
      <c r="L1033" s="40">
        <v>3.7504098340000001</v>
      </c>
    </row>
    <row r="1034" spans="1:12" hidden="1">
      <c r="A1034" s="37" t="s">
        <v>1845</v>
      </c>
      <c r="B1034" s="37"/>
      <c r="C1034" s="37" t="s">
        <v>668</v>
      </c>
      <c r="D1034" s="64">
        <v>23803</v>
      </c>
      <c r="E1034" s="38">
        <v>2.52</v>
      </c>
      <c r="F1034" s="39">
        <v>1.6131515000000001</v>
      </c>
      <c r="G1034" s="38">
        <v>0.2131316</v>
      </c>
      <c r="H1034" s="38">
        <v>0.28782600000000003</v>
      </c>
      <c r="I1034" s="38">
        <v>0.12902235000000001</v>
      </c>
      <c r="J1034" s="38">
        <v>1.9437894000000001E-2</v>
      </c>
      <c r="K1034" s="38">
        <v>0</v>
      </c>
      <c r="L1034" s="40">
        <v>2.2625693440000005</v>
      </c>
    </row>
    <row r="1035" spans="1:12" hidden="1">
      <c r="A1035" s="37" t="s">
        <v>1846</v>
      </c>
      <c r="B1035" s="37"/>
      <c r="C1035" s="37" t="s">
        <v>668</v>
      </c>
      <c r="D1035" s="64">
        <v>23802</v>
      </c>
      <c r="E1035" s="38">
        <v>2.13</v>
      </c>
      <c r="F1035" s="39">
        <v>1.6131515000000001</v>
      </c>
      <c r="G1035" s="38">
        <v>0.2131316</v>
      </c>
      <c r="H1035" s="38">
        <v>0.28782600000000003</v>
      </c>
      <c r="I1035" s="38">
        <v>0.12902235000000001</v>
      </c>
      <c r="J1035" s="38">
        <v>1.9437894000000001E-2</v>
      </c>
      <c r="K1035" s="38">
        <v>0</v>
      </c>
      <c r="L1035" s="40">
        <v>2.2625693440000005</v>
      </c>
    </row>
    <row r="1036" spans="1:12" hidden="1">
      <c r="A1036" s="41" t="s">
        <v>1847</v>
      </c>
      <c r="B1036" s="41"/>
      <c r="C1036" s="41" t="s">
        <v>1085</v>
      </c>
      <c r="D1036" s="65">
        <v>23536</v>
      </c>
      <c r="E1036" s="42">
        <v>2.9</v>
      </c>
      <c r="F1036" s="43">
        <v>0.98799815999999996</v>
      </c>
      <c r="G1036" s="42">
        <v>0.17613122</v>
      </c>
      <c r="H1036" s="42">
        <v>0.18549789</v>
      </c>
      <c r="I1036" s="42">
        <v>0.22571324000000001</v>
      </c>
      <c r="J1036" s="42">
        <v>3.7768032999999999E-2</v>
      </c>
      <c r="K1036" s="42">
        <v>6.6736979E-3</v>
      </c>
      <c r="L1036" s="44">
        <v>1.6197822408999998</v>
      </c>
    </row>
    <row r="1037" spans="1:12" hidden="1">
      <c r="A1037" s="41" t="s">
        <v>1848</v>
      </c>
      <c r="B1037" s="41"/>
      <c r="C1037" s="41" t="s">
        <v>1085</v>
      </c>
      <c r="D1037" s="65">
        <v>39232</v>
      </c>
      <c r="E1037" s="42">
        <v>2.9</v>
      </c>
      <c r="F1037" s="43">
        <v>1.0576144999999999</v>
      </c>
      <c r="G1037" s="42">
        <v>0.17074990000000001</v>
      </c>
      <c r="H1037" s="42">
        <v>0.1795842</v>
      </c>
      <c r="I1037" s="42">
        <v>0.15066655000000001</v>
      </c>
      <c r="J1037" s="42">
        <v>1.7262405000000001E-2</v>
      </c>
      <c r="K1037" s="42">
        <v>6.6736979E-3</v>
      </c>
      <c r="L1037" s="44">
        <v>1.5825512528999999</v>
      </c>
    </row>
    <row r="1038" spans="1:12" hidden="1">
      <c r="A1038" s="41" t="s">
        <v>1849</v>
      </c>
      <c r="B1038" s="41"/>
      <c r="C1038" s="41" t="s">
        <v>1085</v>
      </c>
      <c r="D1038" s="65">
        <v>23534</v>
      </c>
      <c r="E1038" s="42">
        <v>2.2999999999999998</v>
      </c>
      <c r="F1038" s="43">
        <v>0.85108528000000006</v>
      </c>
      <c r="G1038" s="42">
        <v>0.18809145999999999</v>
      </c>
      <c r="H1038" s="42">
        <v>0.18549789</v>
      </c>
      <c r="I1038" s="42">
        <v>0.20734496999999999</v>
      </c>
      <c r="J1038" s="42">
        <v>3.7768032999999999E-2</v>
      </c>
      <c r="K1038" s="42">
        <v>6.6736979E-3</v>
      </c>
      <c r="L1038" s="44">
        <v>1.4764613309000001</v>
      </c>
    </row>
    <row r="1039" spans="1:12" hidden="1">
      <c r="A1039" s="41" t="s">
        <v>1850</v>
      </c>
      <c r="B1039" s="41"/>
      <c r="C1039" s="41" t="s">
        <v>1085</v>
      </c>
      <c r="D1039" s="65">
        <v>23535</v>
      </c>
      <c r="E1039" s="42">
        <v>1.9</v>
      </c>
      <c r="F1039" s="43">
        <v>0.94234052999999995</v>
      </c>
      <c r="G1039" s="42">
        <v>0.21086986999999999</v>
      </c>
      <c r="H1039" s="42">
        <v>0.1795842</v>
      </c>
      <c r="I1039" s="42">
        <v>0.12806834</v>
      </c>
      <c r="J1039" s="42">
        <v>1.7262405000000001E-2</v>
      </c>
      <c r="K1039" s="42">
        <v>6.6736979E-3</v>
      </c>
      <c r="L1039" s="44">
        <v>1.4847990429</v>
      </c>
    </row>
    <row r="1040" spans="1:12" hidden="1">
      <c r="A1040" s="37" t="s">
        <v>1851</v>
      </c>
      <c r="B1040" s="37"/>
      <c r="C1040" s="37" t="s">
        <v>668</v>
      </c>
      <c r="D1040" s="64">
        <v>23925</v>
      </c>
      <c r="E1040" s="38">
        <v>2.13</v>
      </c>
      <c r="F1040" s="39">
        <v>2.5265553000000001</v>
      </c>
      <c r="G1040" s="38">
        <v>0.22663939</v>
      </c>
      <c r="H1040" s="38">
        <v>0.28783249</v>
      </c>
      <c r="I1040" s="38">
        <v>0.13387251</v>
      </c>
      <c r="J1040" s="38">
        <v>1.9437894000000001E-2</v>
      </c>
      <c r="K1040" s="38">
        <v>0</v>
      </c>
      <c r="L1040" s="40">
        <v>3.1943375840000003</v>
      </c>
    </row>
    <row r="1041" spans="1:12" hidden="1">
      <c r="A1041" s="37" t="s">
        <v>1852</v>
      </c>
      <c r="B1041" s="37"/>
      <c r="C1041" s="37" t="s">
        <v>668</v>
      </c>
      <c r="D1041" s="64">
        <v>23586</v>
      </c>
      <c r="E1041" s="38">
        <v>2.19</v>
      </c>
      <c r="F1041" s="39">
        <v>8.2620125000000009</v>
      </c>
      <c r="G1041" s="38">
        <v>0.39775748</v>
      </c>
      <c r="H1041" s="38">
        <v>0.28780042</v>
      </c>
      <c r="I1041" s="38">
        <v>0.25638522000000002</v>
      </c>
      <c r="J1041" s="38">
        <v>1.9437894000000001E-2</v>
      </c>
      <c r="K1041" s="38">
        <v>0</v>
      </c>
      <c r="L1041" s="40">
        <v>9.2233935139999996</v>
      </c>
    </row>
    <row r="1042" spans="1:12" hidden="1">
      <c r="A1042" s="37" t="s">
        <v>1853</v>
      </c>
      <c r="B1042" s="37"/>
      <c r="C1042" s="37" t="s">
        <v>668</v>
      </c>
      <c r="D1042" s="64">
        <v>23937</v>
      </c>
      <c r="E1042" s="38">
        <v>3.72</v>
      </c>
      <c r="F1042" s="39">
        <v>1.2283287000000001</v>
      </c>
      <c r="G1042" s="38">
        <v>0.23715375</v>
      </c>
      <c r="H1042" s="38">
        <v>0.28778869000000001</v>
      </c>
      <c r="I1042" s="38">
        <v>0.21854291000000001</v>
      </c>
      <c r="J1042" s="38">
        <v>1.9437894000000001E-2</v>
      </c>
      <c r="K1042" s="38">
        <v>0</v>
      </c>
      <c r="L1042" s="40">
        <v>1.9912519440000001</v>
      </c>
    </row>
    <row r="1043" spans="1:12" hidden="1">
      <c r="A1043" s="41" t="s">
        <v>1854</v>
      </c>
      <c r="B1043" s="41"/>
      <c r="C1043" s="41" t="s">
        <v>668</v>
      </c>
      <c r="D1043" s="65">
        <v>23938</v>
      </c>
      <c r="E1043" s="42">
        <v>2.13</v>
      </c>
      <c r="F1043" s="43">
        <v>2.6738140000000001</v>
      </c>
      <c r="G1043" s="42">
        <v>0.25205227000000002</v>
      </c>
      <c r="H1043" s="42">
        <v>0.28782180000000002</v>
      </c>
      <c r="I1043" s="42">
        <v>0.14450046</v>
      </c>
      <c r="J1043" s="42">
        <v>1.9437894000000001E-2</v>
      </c>
      <c r="K1043" s="42">
        <v>0</v>
      </c>
      <c r="L1043" s="44">
        <v>3.3776264240000007</v>
      </c>
    </row>
    <row r="1044" spans="1:12" hidden="1">
      <c r="A1044" s="41" t="s">
        <v>1855</v>
      </c>
      <c r="B1044" s="41"/>
      <c r="C1044" s="41" t="s">
        <v>668</v>
      </c>
      <c r="D1044" s="65">
        <v>23939</v>
      </c>
      <c r="E1044" s="42">
        <v>2.19</v>
      </c>
      <c r="F1044" s="43">
        <v>8.2620125000000009</v>
      </c>
      <c r="G1044" s="42">
        <v>0.39775748</v>
      </c>
      <c r="H1044" s="42">
        <v>0.28780042</v>
      </c>
      <c r="I1044" s="42">
        <v>0.25638522000000002</v>
      </c>
      <c r="J1044" s="42">
        <v>1.9437894000000001E-2</v>
      </c>
      <c r="K1044" s="42">
        <v>0</v>
      </c>
      <c r="L1044" s="44">
        <v>9.2233935139999996</v>
      </c>
    </row>
    <row r="1045" spans="1:12" hidden="1">
      <c r="A1045" s="41" t="s">
        <v>1856</v>
      </c>
      <c r="B1045" s="41"/>
      <c r="C1045" s="41" t="s">
        <v>668</v>
      </c>
      <c r="D1045" s="65">
        <v>23941</v>
      </c>
      <c r="E1045" s="42">
        <v>3.5</v>
      </c>
      <c r="F1045" s="43">
        <v>1.2283287000000001</v>
      </c>
      <c r="G1045" s="42">
        <v>0.23715375</v>
      </c>
      <c r="H1045" s="42">
        <v>0.28778869000000001</v>
      </c>
      <c r="I1045" s="42">
        <v>0.21854291000000001</v>
      </c>
      <c r="J1045" s="42">
        <v>1.9437894000000001E-2</v>
      </c>
      <c r="K1045" s="42">
        <v>0</v>
      </c>
      <c r="L1045" s="44">
        <v>1.9912519440000001</v>
      </c>
    </row>
    <row r="1046" spans="1:12" hidden="1">
      <c r="A1046" s="41" t="s">
        <v>1857</v>
      </c>
      <c r="B1046" s="41"/>
      <c r="C1046" s="41" t="s">
        <v>668</v>
      </c>
      <c r="D1046" s="65">
        <v>23594</v>
      </c>
      <c r="E1046" s="42">
        <v>2.13</v>
      </c>
      <c r="F1046" s="43">
        <v>2.1248455000000002</v>
      </c>
      <c r="G1046" s="42">
        <v>0.22555683000000001</v>
      </c>
      <c r="H1046" s="42">
        <v>0.28781929000000001</v>
      </c>
      <c r="I1046" s="42">
        <v>0.13301778</v>
      </c>
      <c r="J1046" s="42">
        <v>1.9437894000000001E-2</v>
      </c>
      <c r="K1046" s="42">
        <v>0</v>
      </c>
      <c r="L1046" s="44">
        <v>2.790677294</v>
      </c>
    </row>
    <row r="1047" spans="1:12" hidden="1">
      <c r="A1047" s="41" t="s">
        <v>1858</v>
      </c>
      <c r="B1047" s="41"/>
      <c r="C1047" s="41" t="s">
        <v>668</v>
      </c>
      <c r="D1047" s="65">
        <v>23007</v>
      </c>
      <c r="E1047" s="42">
        <v>3.06</v>
      </c>
      <c r="F1047" s="43">
        <v>1.2283287000000001</v>
      </c>
      <c r="G1047" s="42">
        <v>0.23715375</v>
      </c>
      <c r="H1047" s="42">
        <v>0.28778869000000001</v>
      </c>
      <c r="I1047" s="42">
        <v>0.21854291000000001</v>
      </c>
      <c r="J1047" s="42">
        <v>1.9437894000000001E-2</v>
      </c>
      <c r="K1047" s="42">
        <v>0</v>
      </c>
      <c r="L1047" s="44">
        <v>1.9912519440000001</v>
      </c>
    </row>
    <row r="1048" spans="1:12" hidden="1">
      <c r="A1048" s="37" t="s">
        <v>1859</v>
      </c>
      <c r="B1048" s="37"/>
      <c r="C1048" s="37" t="s">
        <v>668</v>
      </c>
      <c r="D1048" s="64">
        <v>23005</v>
      </c>
      <c r="E1048" s="38">
        <v>2.59</v>
      </c>
      <c r="F1048" s="39">
        <v>3.1916000000000002</v>
      </c>
      <c r="G1048" s="38">
        <v>0.25633650000000002</v>
      </c>
      <c r="H1048" s="38">
        <v>0.28779339999999998</v>
      </c>
      <c r="I1048" s="38">
        <v>0.15857015999999999</v>
      </c>
      <c r="J1048" s="38">
        <v>1.9437894000000001E-2</v>
      </c>
      <c r="K1048" s="38">
        <v>0</v>
      </c>
      <c r="L1048" s="40">
        <v>3.9137379540000006</v>
      </c>
    </row>
    <row r="1049" spans="1:12" hidden="1">
      <c r="A1049" s="37" t="s">
        <v>1860</v>
      </c>
      <c r="B1049" s="37"/>
      <c r="C1049" s="37" t="s">
        <v>668</v>
      </c>
      <c r="D1049" s="64">
        <v>23930</v>
      </c>
      <c r="E1049" s="38">
        <v>2.91</v>
      </c>
      <c r="F1049" s="39">
        <v>1.7392837000000001</v>
      </c>
      <c r="G1049" s="38">
        <v>0.23538554</v>
      </c>
      <c r="H1049" s="38">
        <v>0.28783941000000002</v>
      </c>
      <c r="I1049" s="38">
        <v>0.16300506000000001</v>
      </c>
      <c r="J1049" s="38">
        <v>1.9437894000000001E-2</v>
      </c>
      <c r="K1049" s="38">
        <v>0</v>
      </c>
      <c r="L1049" s="40">
        <v>2.4449516040000003</v>
      </c>
    </row>
    <row r="1050" spans="1:12" hidden="1">
      <c r="A1050" s="41" t="s">
        <v>1861</v>
      </c>
      <c r="B1050" s="41"/>
      <c r="C1050" s="41" t="s">
        <v>668</v>
      </c>
      <c r="D1050" s="65">
        <v>23854</v>
      </c>
      <c r="E1050" s="42">
        <v>2.91</v>
      </c>
      <c r="F1050" s="43">
        <v>2.3635185000000001</v>
      </c>
      <c r="G1050" s="42">
        <v>0.22831583999999999</v>
      </c>
      <c r="H1050" s="42">
        <v>0.28786834</v>
      </c>
      <c r="I1050" s="42">
        <v>0.12969235000000001</v>
      </c>
      <c r="J1050" s="42">
        <v>1.9437894000000001E-2</v>
      </c>
      <c r="K1050" s="42">
        <v>0</v>
      </c>
      <c r="L1050" s="44">
        <v>3.0288329240000005</v>
      </c>
    </row>
    <row r="1051" spans="1:12" hidden="1">
      <c r="A1051" s="41" t="s">
        <v>1862</v>
      </c>
      <c r="B1051" s="41"/>
      <c r="C1051" s="41" t="s">
        <v>668</v>
      </c>
      <c r="D1051" s="65">
        <v>23853</v>
      </c>
      <c r="E1051" s="42">
        <v>2.13</v>
      </c>
      <c r="F1051" s="43">
        <v>1.8158519</v>
      </c>
      <c r="G1051" s="42">
        <v>0.19557573</v>
      </c>
      <c r="H1051" s="42">
        <v>0.28783207</v>
      </c>
      <c r="I1051" s="42">
        <v>0.12996257999999999</v>
      </c>
      <c r="J1051" s="42">
        <v>1.9437894000000001E-2</v>
      </c>
      <c r="K1051" s="42">
        <v>0</v>
      </c>
      <c r="L1051" s="44">
        <v>2.448660174</v>
      </c>
    </row>
    <row r="1052" spans="1:12" hidden="1">
      <c r="A1052" s="41" t="s">
        <v>1863</v>
      </c>
      <c r="B1052" s="41"/>
      <c r="C1052" s="41" t="s">
        <v>668</v>
      </c>
      <c r="D1052" s="65">
        <v>23852</v>
      </c>
      <c r="E1052" s="42">
        <v>2.19</v>
      </c>
      <c r="F1052" s="43">
        <v>4.4896115999999999</v>
      </c>
      <c r="G1052" s="42">
        <v>0.29373397000000001</v>
      </c>
      <c r="H1052" s="42">
        <v>0.28784296999999998</v>
      </c>
      <c r="I1052" s="42">
        <v>0.17755816999999999</v>
      </c>
      <c r="J1052" s="42">
        <v>1.9437894000000001E-2</v>
      </c>
      <c r="K1052" s="42">
        <v>0</v>
      </c>
      <c r="L1052" s="44">
        <v>5.268184604</v>
      </c>
    </row>
    <row r="1053" spans="1:12" hidden="1">
      <c r="A1053" s="41" t="s">
        <v>669</v>
      </c>
      <c r="B1053" s="41"/>
      <c r="C1053" s="41" t="s">
        <v>668</v>
      </c>
      <c r="D1053" s="65">
        <v>23851</v>
      </c>
      <c r="E1053" s="42">
        <v>2.13</v>
      </c>
      <c r="F1053" s="43">
        <v>1.9264102000000001</v>
      </c>
      <c r="G1053" s="42">
        <v>0.22423821999999999</v>
      </c>
      <c r="H1053" s="42">
        <v>0.28784338999999998</v>
      </c>
      <c r="I1053" s="42">
        <v>0.12946376000000001</v>
      </c>
      <c r="J1053" s="42">
        <v>1.9437894000000001E-2</v>
      </c>
      <c r="K1053" s="42">
        <v>0</v>
      </c>
      <c r="L1053" s="44">
        <v>2.5873934640000003</v>
      </c>
    </row>
    <row r="1054" spans="1:12" hidden="1">
      <c r="A1054" s="41" t="s">
        <v>1864</v>
      </c>
      <c r="B1054" s="41"/>
      <c r="C1054" s="41" t="s">
        <v>623</v>
      </c>
      <c r="D1054" s="65">
        <v>24311</v>
      </c>
      <c r="E1054" s="42">
        <v>2.98</v>
      </c>
      <c r="F1054" s="43">
        <v>5.9889308000000003</v>
      </c>
      <c r="G1054" s="42">
        <v>0.33136843999999999</v>
      </c>
      <c r="H1054" s="42">
        <v>0.10982941</v>
      </c>
      <c r="I1054" s="42">
        <v>0.20759383000000001</v>
      </c>
      <c r="J1054" s="42">
        <v>1.9437894000000001E-2</v>
      </c>
      <c r="K1054" s="42">
        <v>0</v>
      </c>
      <c r="L1054" s="44">
        <v>6.6571603740000009</v>
      </c>
    </row>
    <row r="1055" spans="1:12" hidden="1">
      <c r="A1055" s="41" t="s">
        <v>1865</v>
      </c>
      <c r="B1055" s="41"/>
      <c r="C1055" s="41" t="s">
        <v>623</v>
      </c>
      <c r="D1055" s="65">
        <v>24312</v>
      </c>
      <c r="E1055" s="42">
        <v>3.38</v>
      </c>
      <c r="F1055" s="43">
        <v>2.4224226</v>
      </c>
      <c r="G1055" s="42">
        <v>0.27519811999999999</v>
      </c>
      <c r="H1055" s="42">
        <v>0.10980342</v>
      </c>
      <c r="I1055" s="42">
        <v>0.18542713999999999</v>
      </c>
      <c r="J1055" s="42">
        <v>1.9437894000000001E-2</v>
      </c>
      <c r="K1055" s="42">
        <v>0</v>
      </c>
      <c r="L1055" s="44">
        <v>3.0122891739999997</v>
      </c>
    </row>
    <row r="1056" spans="1:12" hidden="1">
      <c r="A1056" s="41" t="s">
        <v>1866</v>
      </c>
      <c r="B1056" s="41"/>
      <c r="C1056" s="41" t="s">
        <v>623</v>
      </c>
      <c r="D1056" s="65">
        <v>24320</v>
      </c>
      <c r="E1056" s="42">
        <v>2.92</v>
      </c>
      <c r="F1056" s="43">
        <v>1.7392837000000001</v>
      </c>
      <c r="G1056" s="42">
        <v>0.23538554</v>
      </c>
      <c r="H1056" s="42">
        <v>0.1098401</v>
      </c>
      <c r="I1056" s="42">
        <v>0.16840188</v>
      </c>
      <c r="J1056" s="42">
        <v>1.9437894000000001E-2</v>
      </c>
      <c r="K1056" s="42">
        <v>0</v>
      </c>
      <c r="L1056" s="44">
        <v>2.2723491140000007</v>
      </c>
    </row>
    <row r="1057" spans="1:12" hidden="1">
      <c r="A1057" s="41" t="s">
        <v>1867</v>
      </c>
      <c r="B1057" s="41"/>
      <c r="C1057" s="41" t="s">
        <v>623</v>
      </c>
      <c r="D1057" s="65">
        <v>24300</v>
      </c>
      <c r="E1057" s="42">
        <v>2.92</v>
      </c>
      <c r="F1057" s="43">
        <v>2.3635185000000001</v>
      </c>
      <c r="G1057" s="42">
        <v>0.22831583999999999</v>
      </c>
      <c r="H1057" s="42">
        <v>0.10986902</v>
      </c>
      <c r="I1057" s="42">
        <v>0.13508917000000001</v>
      </c>
      <c r="J1057" s="42">
        <v>1.9437894000000001E-2</v>
      </c>
      <c r="K1057" s="42">
        <v>0</v>
      </c>
      <c r="L1057" s="44">
        <v>2.8562304240000005</v>
      </c>
    </row>
    <row r="1058" spans="1:12" hidden="1">
      <c r="A1058" s="41" t="s">
        <v>1868</v>
      </c>
      <c r="B1058" s="41"/>
      <c r="C1058" s="41" t="s">
        <v>623</v>
      </c>
      <c r="D1058" s="65">
        <v>24313</v>
      </c>
      <c r="E1058" s="42">
        <v>2.92</v>
      </c>
      <c r="F1058" s="43">
        <v>2.3635185000000001</v>
      </c>
      <c r="G1058" s="42">
        <v>0.22831583999999999</v>
      </c>
      <c r="H1058" s="42">
        <v>0.10986902</v>
      </c>
      <c r="I1058" s="42">
        <v>0.13508917000000001</v>
      </c>
      <c r="J1058" s="42">
        <v>1.9437894000000001E-2</v>
      </c>
      <c r="K1058" s="42">
        <v>0</v>
      </c>
      <c r="L1058" s="44">
        <v>2.8562304240000005</v>
      </c>
    </row>
    <row r="1059" spans="1:12" hidden="1">
      <c r="A1059" s="37" t="s">
        <v>1869</v>
      </c>
      <c r="B1059" s="37"/>
      <c r="C1059" s="37" t="s">
        <v>894</v>
      </c>
      <c r="D1059" s="64">
        <v>11007</v>
      </c>
      <c r="E1059" s="38">
        <v>2.83</v>
      </c>
      <c r="F1059" s="39">
        <v>1.4079132000000001</v>
      </c>
      <c r="G1059" s="38">
        <v>0.10142663</v>
      </c>
      <c r="H1059" s="38">
        <v>0.10086320999999999</v>
      </c>
      <c r="I1059" s="38">
        <v>0.11250984999999999</v>
      </c>
      <c r="J1059" s="38">
        <v>1.6060356000000001E-2</v>
      </c>
      <c r="K1059" s="38">
        <v>0</v>
      </c>
      <c r="L1059" s="40">
        <v>1.7387732460000001</v>
      </c>
    </row>
    <row r="1060" spans="1:12" hidden="1">
      <c r="A1060" s="41" t="s">
        <v>1870</v>
      </c>
      <c r="B1060" s="41"/>
      <c r="C1060" s="41" t="s">
        <v>668</v>
      </c>
      <c r="D1060" s="65">
        <v>23940</v>
      </c>
      <c r="E1060" s="42">
        <v>2.59</v>
      </c>
      <c r="F1060" s="43">
        <v>8.2620125000000009</v>
      </c>
      <c r="G1060" s="42">
        <v>0.39775748</v>
      </c>
      <c r="H1060" s="42">
        <v>0.28780042</v>
      </c>
      <c r="I1060" s="42">
        <v>0.25638522000000002</v>
      </c>
      <c r="J1060" s="42">
        <v>1.9437894000000001E-2</v>
      </c>
      <c r="K1060" s="42">
        <v>0</v>
      </c>
      <c r="L1060" s="44">
        <v>9.2233935139999996</v>
      </c>
    </row>
    <row r="1061" spans="1:12" hidden="1">
      <c r="A1061" s="37" t="s">
        <v>1871</v>
      </c>
      <c r="B1061" s="37"/>
      <c r="C1061" s="37" t="s">
        <v>623</v>
      </c>
      <c r="D1061" s="64">
        <v>24686</v>
      </c>
      <c r="E1061" s="38">
        <v>3.5</v>
      </c>
      <c r="F1061" s="39">
        <v>1.2283287000000001</v>
      </c>
      <c r="G1061" s="38">
        <v>0.23715375</v>
      </c>
      <c r="H1061" s="38">
        <v>0.10978937</v>
      </c>
      <c r="I1061" s="38">
        <v>0.22393973</v>
      </c>
      <c r="J1061" s="38">
        <v>1.9437894000000001E-2</v>
      </c>
      <c r="K1061" s="38">
        <v>0</v>
      </c>
      <c r="L1061" s="40">
        <v>1.8186494440000003</v>
      </c>
    </row>
    <row r="1062" spans="1:12" hidden="1">
      <c r="A1062" s="37" t="s">
        <v>1872</v>
      </c>
      <c r="B1062" s="37"/>
      <c r="C1062" s="37" t="s">
        <v>788</v>
      </c>
      <c r="D1062" s="64">
        <v>40700</v>
      </c>
      <c r="E1062" s="38">
        <v>2.59</v>
      </c>
      <c r="F1062" s="39">
        <v>1.1040528000000001</v>
      </c>
      <c r="G1062" s="38">
        <v>0.21943008</v>
      </c>
      <c r="H1062" s="38">
        <v>0.27530876999999998</v>
      </c>
      <c r="I1062" s="38">
        <v>0.20041980000000001</v>
      </c>
      <c r="J1062" s="38">
        <v>3.7353873000000003E-2</v>
      </c>
      <c r="K1062" s="38">
        <v>6.6736979E-3</v>
      </c>
      <c r="L1062" s="40">
        <v>1.8432390208999998</v>
      </c>
    </row>
    <row r="1063" spans="1:12" hidden="1">
      <c r="A1063" s="37" t="s">
        <v>1873</v>
      </c>
      <c r="B1063" s="37"/>
      <c r="C1063" s="37" t="s">
        <v>657</v>
      </c>
      <c r="D1063" s="64">
        <v>1002</v>
      </c>
      <c r="E1063" s="38">
        <v>3.29</v>
      </c>
      <c r="F1063" s="39">
        <v>6.2203355000000002E-3</v>
      </c>
      <c r="G1063" s="38">
        <v>0.35111300000000001</v>
      </c>
      <c r="H1063" s="38">
        <v>0.47782284000000003</v>
      </c>
      <c r="I1063" s="38">
        <v>0.17638297999999999</v>
      </c>
      <c r="J1063" s="38">
        <v>1.5108570999999999E-2</v>
      </c>
      <c r="K1063" s="38">
        <v>6.6736979E-3</v>
      </c>
      <c r="L1063" s="40">
        <v>1.0333214244000002</v>
      </c>
    </row>
    <row r="1064" spans="1:12" hidden="1">
      <c r="A1064" s="37" t="s">
        <v>1874</v>
      </c>
      <c r="B1064" s="37"/>
      <c r="C1064" s="37" t="s">
        <v>1199</v>
      </c>
      <c r="D1064" s="64">
        <v>11006</v>
      </c>
      <c r="E1064" s="38">
        <v>4.3099999999999996</v>
      </c>
      <c r="F1064" s="39">
        <v>0.15806978999999999</v>
      </c>
      <c r="G1064" s="38">
        <v>0</v>
      </c>
      <c r="H1064" s="38">
        <v>0.47782284000000003</v>
      </c>
      <c r="I1064" s="38">
        <v>0.32916121999999998</v>
      </c>
      <c r="J1064" s="38">
        <v>1.5675970000000001E-2</v>
      </c>
      <c r="K1064" s="38">
        <v>0</v>
      </c>
      <c r="L1064" s="40">
        <v>0.98072982000000009</v>
      </c>
    </row>
    <row r="1065" spans="1:12" hidden="1">
      <c r="A1065" s="37" t="s">
        <v>1875</v>
      </c>
      <c r="B1065" s="37"/>
      <c r="C1065" s="37" t="s">
        <v>1199</v>
      </c>
      <c r="D1065" s="64">
        <v>11074</v>
      </c>
      <c r="E1065" s="38">
        <v>3.73</v>
      </c>
      <c r="F1065" s="39">
        <v>0.15806978999999999</v>
      </c>
      <c r="G1065" s="38">
        <v>0</v>
      </c>
      <c r="H1065" s="38">
        <v>0</v>
      </c>
      <c r="I1065" s="38">
        <v>0.27886327</v>
      </c>
      <c r="J1065" s="38">
        <v>1.5675970000000001E-2</v>
      </c>
      <c r="K1065" s="38">
        <v>0</v>
      </c>
      <c r="L1065" s="40">
        <v>0.45260902999999997</v>
      </c>
    </row>
    <row r="1066" spans="1:12" hidden="1">
      <c r="A1066" s="37" t="s">
        <v>1876</v>
      </c>
      <c r="B1066" s="37"/>
      <c r="C1066" s="37" t="s">
        <v>1877</v>
      </c>
      <c r="D1066" s="64">
        <v>39526</v>
      </c>
      <c r="E1066" s="38">
        <v>1.92</v>
      </c>
      <c r="F1066" s="39">
        <v>0.18474681000000001</v>
      </c>
      <c r="G1066" s="38">
        <v>0.22502791</v>
      </c>
      <c r="H1066" s="38">
        <v>0.18042667000000001</v>
      </c>
      <c r="I1066" s="38">
        <v>0.21926145999999999</v>
      </c>
      <c r="J1066" s="38">
        <v>6.5229756E-2</v>
      </c>
      <c r="K1066" s="38">
        <v>2.5251829999999999E-2</v>
      </c>
      <c r="L1066" s="40">
        <v>0.89994443600000007</v>
      </c>
    </row>
    <row r="1067" spans="1:12" hidden="1">
      <c r="A1067" s="37" t="s">
        <v>1878</v>
      </c>
      <c r="B1067" s="37"/>
      <c r="C1067" s="37" t="s">
        <v>671</v>
      </c>
      <c r="D1067" s="64">
        <v>39517</v>
      </c>
      <c r="E1067" s="38">
        <v>3.45</v>
      </c>
      <c r="F1067" s="39">
        <v>1.0539407999999999</v>
      </c>
      <c r="G1067" s="38">
        <v>0.21512698</v>
      </c>
      <c r="H1067" s="38">
        <v>0.18042667000000001</v>
      </c>
      <c r="I1067" s="38">
        <v>0.19674195</v>
      </c>
      <c r="J1067" s="38">
        <v>6.5229756E-2</v>
      </c>
      <c r="K1067" s="38">
        <v>2.5251829999999999E-2</v>
      </c>
      <c r="L1067" s="40">
        <v>1.7367179859999999</v>
      </c>
    </row>
    <row r="1068" spans="1:12" hidden="1">
      <c r="A1068" s="37" t="s">
        <v>670</v>
      </c>
      <c r="B1068" s="37"/>
      <c r="C1068" s="37" t="s">
        <v>671</v>
      </c>
      <c r="D1068" s="64">
        <v>39503</v>
      </c>
      <c r="E1068" s="38">
        <v>3.45</v>
      </c>
      <c r="F1068" s="39">
        <v>1.0539407999999999</v>
      </c>
      <c r="G1068" s="38">
        <v>0.21512698</v>
      </c>
      <c r="H1068" s="38">
        <v>0.18042667000000001</v>
      </c>
      <c r="I1068" s="38">
        <v>0.19674195</v>
      </c>
      <c r="J1068" s="38">
        <v>6.5229756E-2</v>
      </c>
      <c r="K1068" s="38">
        <v>2.5251829999999999E-2</v>
      </c>
      <c r="L1068" s="40">
        <v>1.7367179859999999</v>
      </c>
    </row>
    <row r="1069" spans="1:12" hidden="1">
      <c r="A1069" s="37" t="s">
        <v>1879</v>
      </c>
      <c r="B1069" s="37"/>
      <c r="C1069" s="37" t="s">
        <v>671</v>
      </c>
      <c r="D1069" s="64">
        <v>39509</v>
      </c>
      <c r="E1069" s="38">
        <v>3.45</v>
      </c>
      <c r="F1069" s="39">
        <v>1.0539407999999999</v>
      </c>
      <c r="G1069" s="38">
        <v>0.21512698</v>
      </c>
      <c r="H1069" s="38">
        <v>0.18042667000000001</v>
      </c>
      <c r="I1069" s="38">
        <v>0.19674195</v>
      </c>
      <c r="J1069" s="38">
        <v>6.5229756E-2</v>
      </c>
      <c r="K1069" s="38">
        <v>2.5251829999999999E-2</v>
      </c>
      <c r="L1069" s="40">
        <v>1.7367179859999999</v>
      </c>
    </row>
    <row r="1070" spans="1:12" hidden="1">
      <c r="A1070" s="37" t="s">
        <v>1880</v>
      </c>
      <c r="B1070" s="37"/>
      <c r="C1070" s="37" t="s">
        <v>671</v>
      </c>
      <c r="D1070" s="64">
        <v>39515</v>
      </c>
      <c r="E1070" s="38">
        <v>3.45</v>
      </c>
      <c r="F1070" s="39">
        <v>1.0539407999999999</v>
      </c>
      <c r="G1070" s="38">
        <v>0.21512698</v>
      </c>
      <c r="H1070" s="38">
        <v>0.18042667000000001</v>
      </c>
      <c r="I1070" s="38">
        <v>0.19674195</v>
      </c>
      <c r="J1070" s="38">
        <v>6.5229756E-2</v>
      </c>
      <c r="K1070" s="38">
        <v>2.5251829999999999E-2</v>
      </c>
      <c r="L1070" s="40">
        <v>1.7367179859999999</v>
      </c>
    </row>
    <row r="1071" spans="1:12" hidden="1">
      <c r="A1071" s="37" t="s">
        <v>1881</v>
      </c>
      <c r="B1071" s="37"/>
      <c r="C1071" s="37" t="s">
        <v>671</v>
      </c>
      <c r="D1071" s="64">
        <v>39520</v>
      </c>
      <c r="E1071" s="38">
        <v>3.45</v>
      </c>
      <c r="F1071" s="39">
        <v>1.0539407999999999</v>
      </c>
      <c r="G1071" s="38">
        <v>0.21512698</v>
      </c>
      <c r="H1071" s="38">
        <v>0.18042667000000001</v>
      </c>
      <c r="I1071" s="38">
        <v>0.19674195</v>
      </c>
      <c r="J1071" s="38">
        <v>6.5229756E-2</v>
      </c>
      <c r="K1071" s="38">
        <v>2.5251829999999999E-2</v>
      </c>
      <c r="L1071" s="40">
        <v>1.7367179859999999</v>
      </c>
    </row>
    <row r="1072" spans="1:12" hidden="1">
      <c r="A1072" s="37" t="s">
        <v>1882</v>
      </c>
      <c r="B1072" s="37"/>
      <c r="C1072" s="37" t="s">
        <v>671</v>
      </c>
      <c r="D1072" s="64">
        <v>39521</v>
      </c>
      <c r="E1072" s="38">
        <v>3.45</v>
      </c>
      <c r="F1072" s="39">
        <v>1.0539407999999999</v>
      </c>
      <c r="G1072" s="38">
        <v>0.21512698</v>
      </c>
      <c r="H1072" s="38">
        <v>0.18042667000000001</v>
      </c>
      <c r="I1072" s="38">
        <v>0.19674195</v>
      </c>
      <c r="J1072" s="38">
        <v>6.5229756E-2</v>
      </c>
      <c r="K1072" s="38">
        <v>2.5251829999999999E-2</v>
      </c>
      <c r="L1072" s="40">
        <v>1.7367179859999999</v>
      </c>
    </row>
    <row r="1073" spans="1:12" hidden="1">
      <c r="A1073" s="37" t="s">
        <v>1883</v>
      </c>
      <c r="B1073" s="37"/>
      <c r="C1073" s="37" t="s">
        <v>671</v>
      </c>
      <c r="D1073" s="64">
        <v>39522</v>
      </c>
      <c r="E1073" s="38">
        <v>3.45</v>
      </c>
      <c r="F1073" s="39">
        <v>1.0539407999999999</v>
      </c>
      <c r="G1073" s="38">
        <v>0.21512698</v>
      </c>
      <c r="H1073" s="38">
        <v>0.18042667000000001</v>
      </c>
      <c r="I1073" s="38">
        <v>0.19674195</v>
      </c>
      <c r="J1073" s="38">
        <v>6.5229756E-2</v>
      </c>
      <c r="K1073" s="38">
        <v>2.5251829999999999E-2</v>
      </c>
      <c r="L1073" s="40">
        <v>1.7367179859999999</v>
      </c>
    </row>
    <row r="1074" spans="1:12" hidden="1">
      <c r="A1074" s="37" t="s">
        <v>1884</v>
      </c>
      <c r="B1074" s="37"/>
      <c r="C1074" s="37" t="s">
        <v>671</v>
      </c>
      <c r="D1074" s="64">
        <v>39531</v>
      </c>
      <c r="E1074" s="38">
        <v>3.45</v>
      </c>
      <c r="F1074" s="39">
        <v>1.0539407999999999</v>
      </c>
      <c r="G1074" s="38">
        <v>0.21512698</v>
      </c>
      <c r="H1074" s="38">
        <v>0.18042667000000001</v>
      </c>
      <c r="I1074" s="38">
        <v>0.19674195</v>
      </c>
      <c r="J1074" s="38">
        <v>6.5229756E-2</v>
      </c>
      <c r="K1074" s="38">
        <v>2.5251829999999999E-2</v>
      </c>
      <c r="L1074" s="40">
        <v>1.7367179859999999</v>
      </c>
    </row>
    <row r="1075" spans="1:12" hidden="1">
      <c r="A1075" s="37" t="s">
        <v>1885</v>
      </c>
      <c r="B1075" s="37"/>
      <c r="C1075" s="37" t="s">
        <v>671</v>
      </c>
      <c r="D1075" s="64">
        <v>39523</v>
      </c>
      <c r="E1075" s="38">
        <v>3.45</v>
      </c>
      <c r="F1075" s="39">
        <v>1.0539407999999999</v>
      </c>
      <c r="G1075" s="38">
        <v>0.21512698</v>
      </c>
      <c r="H1075" s="38">
        <v>0.18042667000000001</v>
      </c>
      <c r="I1075" s="38">
        <v>0.19674195</v>
      </c>
      <c r="J1075" s="38">
        <v>6.5229756E-2</v>
      </c>
      <c r="K1075" s="38">
        <v>2.5251829999999999E-2</v>
      </c>
      <c r="L1075" s="40">
        <v>1.7367179859999999</v>
      </c>
    </row>
    <row r="1076" spans="1:12" hidden="1">
      <c r="A1076" s="37" t="s">
        <v>1886</v>
      </c>
      <c r="B1076" s="37"/>
      <c r="C1076" s="37" t="s">
        <v>816</v>
      </c>
      <c r="D1076" s="64">
        <v>26264</v>
      </c>
      <c r="E1076" s="38">
        <v>1.92</v>
      </c>
      <c r="F1076" s="39">
        <v>0.27989533</v>
      </c>
      <c r="G1076" s="38">
        <v>1.2156474E-2</v>
      </c>
      <c r="H1076" s="38">
        <v>0.27085673999999998</v>
      </c>
      <c r="I1076" s="38">
        <v>0.21754003</v>
      </c>
      <c r="J1076" s="38">
        <v>3.7768032999999999E-2</v>
      </c>
      <c r="K1076" s="38">
        <v>0</v>
      </c>
      <c r="L1076" s="40">
        <v>0.81821660699999987</v>
      </c>
    </row>
    <row r="1077" spans="1:12" hidden="1">
      <c r="A1077" s="37" t="s">
        <v>1887</v>
      </c>
      <c r="B1077" s="37"/>
      <c r="C1077" s="37" t="s">
        <v>816</v>
      </c>
      <c r="D1077" s="64">
        <v>25510</v>
      </c>
      <c r="E1077" s="38">
        <v>1.92</v>
      </c>
      <c r="F1077" s="39">
        <v>0.27989533</v>
      </c>
      <c r="G1077" s="38">
        <v>0.15731607</v>
      </c>
      <c r="H1077" s="38">
        <v>0.18556342000000001</v>
      </c>
      <c r="I1077" s="38">
        <v>0.21754003</v>
      </c>
      <c r="J1077" s="38">
        <v>3.7768032999999999E-2</v>
      </c>
      <c r="K1077" s="38">
        <v>1.1022624E-2</v>
      </c>
      <c r="L1077" s="40">
        <v>0.88910550700000002</v>
      </c>
    </row>
    <row r="1078" spans="1:12" hidden="1">
      <c r="A1078" s="37" t="s">
        <v>1888</v>
      </c>
      <c r="B1078" s="37"/>
      <c r="C1078" s="37" t="s">
        <v>816</v>
      </c>
      <c r="D1078" s="64">
        <v>26265</v>
      </c>
      <c r="E1078" s="38">
        <v>1.92</v>
      </c>
      <c r="F1078" s="39">
        <v>0.27989533</v>
      </c>
      <c r="G1078" s="38">
        <v>1.2156474E-2</v>
      </c>
      <c r="H1078" s="38">
        <v>0.27085673999999998</v>
      </c>
      <c r="I1078" s="38">
        <v>0.21754003</v>
      </c>
      <c r="J1078" s="38">
        <v>3.7768032999999999E-2</v>
      </c>
      <c r="K1078" s="38">
        <v>0</v>
      </c>
      <c r="L1078" s="40">
        <v>0.81821660699999987</v>
      </c>
    </row>
    <row r="1079" spans="1:12" hidden="1">
      <c r="A1079" s="37" t="s">
        <v>1889</v>
      </c>
      <c r="B1079" s="37"/>
      <c r="C1079" s="37" t="s">
        <v>816</v>
      </c>
      <c r="D1079" s="64">
        <v>25479</v>
      </c>
      <c r="E1079" s="38">
        <v>1.92</v>
      </c>
      <c r="F1079" s="39">
        <v>0.27989533</v>
      </c>
      <c r="G1079" s="38">
        <v>0.15731607</v>
      </c>
      <c r="H1079" s="38">
        <v>0.18556342000000001</v>
      </c>
      <c r="I1079" s="38">
        <v>0.21754003</v>
      </c>
      <c r="J1079" s="38">
        <v>3.7768032999999999E-2</v>
      </c>
      <c r="K1079" s="38">
        <v>1.1022624E-2</v>
      </c>
      <c r="L1079" s="40">
        <v>0.88910550700000002</v>
      </c>
    </row>
    <row r="1080" spans="1:12" hidden="1">
      <c r="A1080" s="37" t="s">
        <v>1890</v>
      </c>
      <c r="B1080" s="37"/>
      <c r="C1080" s="37" t="s">
        <v>842</v>
      </c>
      <c r="D1080" s="64">
        <v>58103</v>
      </c>
      <c r="E1080" s="38">
        <v>2.95</v>
      </c>
      <c r="F1080" s="39">
        <v>0.56958361000000002</v>
      </c>
      <c r="G1080" s="38">
        <v>0</v>
      </c>
      <c r="H1080" s="38">
        <v>0.28002042999999999</v>
      </c>
      <c r="I1080" s="38">
        <v>0.52714762000000004</v>
      </c>
      <c r="J1080" s="38">
        <v>2.6594565000000001E-2</v>
      </c>
      <c r="K1080" s="38">
        <v>0.19993026999999999</v>
      </c>
      <c r="L1080" s="40">
        <v>1.603276495</v>
      </c>
    </row>
    <row r="1081" spans="1:12" hidden="1">
      <c r="A1081" s="37" t="s">
        <v>1891</v>
      </c>
      <c r="B1081" s="37"/>
      <c r="C1081" s="37" t="s">
        <v>640</v>
      </c>
      <c r="D1081" s="64">
        <v>12524</v>
      </c>
      <c r="E1081" s="38">
        <v>2.2400000000000002</v>
      </c>
      <c r="F1081" s="39">
        <v>4.4165998999999996</v>
      </c>
      <c r="G1081" s="38">
        <v>0.26156557000000002</v>
      </c>
      <c r="H1081" s="38">
        <v>0.18031662000000001</v>
      </c>
      <c r="I1081" s="38">
        <v>0.21100323000000001</v>
      </c>
      <c r="J1081" s="38">
        <v>3.5969872999999999E-2</v>
      </c>
      <c r="K1081" s="38">
        <v>6.6736979E-3</v>
      </c>
      <c r="L1081" s="40">
        <v>5.1121288909000002</v>
      </c>
    </row>
    <row r="1082" spans="1:12" hidden="1">
      <c r="A1082" s="37" t="s">
        <v>1892</v>
      </c>
      <c r="B1082" s="37"/>
      <c r="C1082" s="37" t="s">
        <v>640</v>
      </c>
      <c r="D1082" s="64">
        <v>12736</v>
      </c>
      <c r="E1082" s="38">
        <v>2.2400000000000002</v>
      </c>
      <c r="F1082" s="39">
        <v>4.9690485000000004</v>
      </c>
      <c r="G1082" s="38">
        <v>0.41410527000000003</v>
      </c>
      <c r="H1082" s="38">
        <v>0.26233268999999998</v>
      </c>
      <c r="I1082" s="38">
        <v>0.21100323000000001</v>
      </c>
      <c r="J1082" s="38">
        <v>3.5969872999999999E-2</v>
      </c>
      <c r="K1082" s="38">
        <v>6.6736979E-3</v>
      </c>
      <c r="L1082" s="40">
        <v>5.8991332609000011</v>
      </c>
    </row>
    <row r="1083" spans="1:12" hidden="1">
      <c r="A1083" s="41" t="s">
        <v>1893</v>
      </c>
      <c r="B1083" s="41"/>
      <c r="C1083" s="41" t="s">
        <v>811</v>
      </c>
      <c r="D1083" s="65">
        <v>25437</v>
      </c>
      <c r="E1083" s="42">
        <v>2.2599999999999998</v>
      </c>
      <c r="F1083" s="43">
        <v>2.5221304999999998</v>
      </c>
      <c r="G1083" s="42">
        <v>0.22913180999999999</v>
      </c>
      <c r="H1083" s="42">
        <v>0.10406709</v>
      </c>
      <c r="I1083" s="42">
        <v>0.21765857999999999</v>
      </c>
      <c r="J1083" s="42">
        <v>3.7768032999999999E-2</v>
      </c>
      <c r="K1083" s="42">
        <v>1.7696322E-2</v>
      </c>
      <c r="L1083" s="44">
        <v>3.128452335</v>
      </c>
    </row>
    <row r="1084" spans="1:12" hidden="1">
      <c r="A1084" s="37" t="s">
        <v>1894</v>
      </c>
      <c r="B1084" s="37"/>
      <c r="C1084" s="37" t="s">
        <v>623</v>
      </c>
      <c r="D1084" s="64">
        <v>24231</v>
      </c>
      <c r="E1084" s="38">
        <v>2.42</v>
      </c>
      <c r="F1084" s="39">
        <v>5.2974398000000003</v>
      </c>
      <c r="G1084" s="38">
        <v>0.25035551</v>
      </c>
      <c r="H1084" s="38">
        <v>0.10985896000000001</v>
      </c>
      <c r="I1084" s="38">
        <v>0.17120092000000001</v>
      </c>
      <c r="J1084" s="38">
        <v>1.9437894000000001E-2</v>
      </c>
      <c r="K1084" s="38">
        <v>0</v>
      </c>
      <c r="L1084" s="40">
        <v>5.8482930840000016</v>
      </c>
    </row>
    <row r="1085" spans="1:12" hidden="1">
      <c r="A1085" s="37" t="s">
        <v>1895</v>
      </c>
      <c r="B1085" s="37"/>
      <c r="C1085" s="37" t="s">
        <v>623</v>
      </c>
      <c r="D1085" s="64">
        <v>24240</v>
      </c>
      <c r="E1085" s="38">
        <v>2.5299999999999998</v>
      </c>
      <c r="F1085" s="39">
        <v>1.7392837000000001</v>
      </c>
      <c r="G1085" s="38">
        <v>0.23538554</v>
      </c>
      <c r="H1085" s="38">
        <v>0.1098401</v>
      </c>
      <c r="I1085" s="38">
        <v>0.16840188</v>
      </c>
      <c r="J1085" s="38">
        <v>1.9437894000000001E-2</v>
      </c>
      <c r="K1085" s="38">
        <v>0</v>
      </c>
      <c r="L1085" s="40">
        <v>2.2723491140000007</v>
      </c>
    </row>
    <row r="1086" spans="1:12" hidden="1">
      <c r="A1086" s="37" t="s">
        <v>1896</v>
      </c>
      <c r="B1086" s="37"/>
      <c r="C1086" s="37" t="s">
        <v>623</v>
      </c>
      <c r="D1086" s="64">
        <v>24225</v>
      </c>
      <c r="E1086" s="38">
        <v>2.42</v>
      </c>
      <c r="F1086" s="39">
        <v>5.2974398000000003</v>
      </c>
      <c r="G1086" s="38">
        <v>0.25035551</v>
      </c>
      <c r="H1086" s="38">
        <v>0.10985896000000001</v>
      </c>
      <c r="I1086" s="38">
        <v>0.17120092000000001</v>
      </c>
      <c r="J1086" s="38">
        <v>1.9437894000000001E-2</v>
      </c>
      <c r="K1086" s="38">
        <v>0</v>
      </c>
      <c r="L1086" s="40">
        <v>5.8482930840000016</v>
      </c>
    </row>
    <row r="1087" spans="1:12" hidden="1">
      <c r="A1087" s="37" t="s">
        <v>1897</v>
      </c>
      <c r="B1087" s="37"/>
      <c r="C1087" s="37" t="s">
        <v>634</v>
      </c>
      <c r="D1087" s="64">
        <v>13083</v>
      </c>
      <c r="E1087" s="38">
        <v>3.01</v>
      </c>
      <c r="F1087" s="39">
        <v>0.52582240999999996</v>
      </c>
      <c r="G1087" s="38">
        <v>0</v>
      </c>
      <c r="H1087" s="38">
        <v>0</v>
      </c>
      <c r="I1087" s="38">
        <v>0.49831248</v>
      </c>
      <c r="J1087" s="38">
        <v>1.5591117999999999E-2</v>
      </c>
      <c r="K1087" s="38">
        <v>8.0351048999999994E-2</v>
      </c>
      <c r="L1087" s="40">
        <v>1.1200770569999998</v>
      </c>
    </row>
    <row r="1088" spans="1:12" hidden="1">
      <c r="A1088" s="37" t="s">
        <v>1898</v>
      </c>
      <c r="B1088" s="37"/>
      <c r="C1088" s="37" t="s">
        <v>784</v>
      </c>
      <c r="D1088" s="64">
        <v>20993</v>
      </c>
      <c r="E1088" s="38">
        <v>2.99</v>
      </c>
      <c r="F1088" s="39">
        <v>4.5528129000000002</v>
      </c>
      <c r="G1088" s="38">
        <v>1.4896054000000001</v>
      </c>
      <c r="H1088" s="38">
        <v>0.28987795999999999</v>
      </c>
      <c r="I1088" s="38">
        <v>0.38352982000000002</v>
      </c>
      <c r="J1088" s="38">
        <v>2.0039066000000001E-2</v>
      </c>
      <c r="K1088" s="38">
        <v>9.9403358999999997E-3</v>
      </c>
      <c r="L1088" s="40">
        <v>6.7458054818999997</v>
      </c>
    </row>
    <row r="1089" spans="1:12" hidden="1">
      <c r="A1089" s="37" t="s">
        <v>1899</v>
      </c>
      <c r="B1089" s="37"/>
      <c r="C1089" s="37" t="s">
        <v>623</v>
      </c>
      <c r="D1089" s="64">
        <v>32000</v>
      </c>
      <c r="E1089" s="38">
        <v>4.03</v>
      </c>
      <c r="F1089" s="39">
        <v>2.4106751000000002</v>
      </c>
      <c r="G1089" s="38">
        <v>0.53688698999999995</v>
      </c>
      <c r="H1089" s="38">
        <v>0.28123298000000002</v>
      </c>
      <c r="I1089" s="38">
        <v>0.25408389999999997</v>
      </c>
      <c r="J1089" s="38">
        <v>1.9437894000000001E-2</v>
      </c>
      <c r="K1089" s="38">
        <v>0</v>
      </c>
      <c r="L1089" s="40">
        <v>3.502316864</v>
      </c>
    </row>
    <row r="1090" spans="1:12" hidden="1">
      <c r="A1090" s="37" t="s">
        <v>1900</v>
      </c>
      <c r="B1090" s="37"/>
      <c r="C1090" s="37" t="s">
        <v>623</v>
      </c>
      <c r="D1090" s="64">
        <v>32115</v>
      </c>
      <c r="E1090" s="38">
        <v>3.71</v>
      </c>
      <c r="F1090" s="39">
        <v>2.4106751000000002</v>
      </c>
      <c r="G1090" s="38">
        <v>0.53688698999999995</v>
      </c>
      <c r="H1090" s="38">
        <v>0.10982668</v>
      </c>
      <c r="I1090" s="38">
        <v>0.25948072</v>
      </c>
      <c r="J1090" s="38">
        <v>1.9437894000000001E-2</v>
      </c>
      <c r="K1090" s="38">
        <v>0</v>
      </c>
      <c r="L1090" s="40">
        <v>3.3363073839999999</v>
      </c>
    </row>
    <row r="1091" spans="1:12" hidden="1">
      <c r="A1091" s="37" t="s">
        <v>1901</v>
      </c>
      <c r="B1091" s="37"/>
      <c r="C1091" s="37" t="s">
        <v>1902</v>
      </c>
      <c r="D1091" s="64">
        <v>16550</v>
      </c>
      <c r="E1091" s="38">
        <v>2.96</v>
      </c>
      <c r="F1091" s="39">
        <v>1.0705966</v>
      </c>
      <c r="G1091" s="38">
        <v>0.21278068999999999</v>
      </c>
      <c r="H1091" s="38">
        <v>0.18086906</v>
      </c>
      <c r="I1091" s="38">
        <v>0.19573656</v>
      </c>
      <c r="J1091" s="38">
        <v>3.9319684000000001E-2</v>
      </c>
      <c r="K1091" s="38">
        <v>6.6736979E-3</v>
      </c>
      <c r="L1091" s="40">
        <v>1.7059762919000001</v>
      </c>
    </row>
    <row r="1092" spans="1:12" hidden="1">
      <c r="A1092" s="41" t="s">
        <v>1903</v>
      </c>
      <c r="B1092" s="41"/>
      <c r="C1092" s="41" t="s">
        <v>1902</v>
      </c>
      <c r="D1092" s="65">
        <v>16570</v>
      </c>
      <c r="E1092" s="42">
        <v>2.96</v>
      </c>
      <c r="F1092" s="43">
        <v>1.0705966</v>
      </c>
      <c r="G1092" s="42">
        <v>0.21278068999999999</v>
      </c>
      <c r="H1092" s="42">
        <v>0.18086906</v>
      </c>
      <c r="I1092" s="42">
        <v>0.19573656</v>
      </c>
      <c r="J1092" s="42">
        <v>3.9319684000000001E-2</v>
      </c>
      <c r="K1092" s="42">
        <v>6.6736979E-3</v>
      </c>
      <c r="L1092" s="44">
        <v>1.7059762919000001</v>
      </c>
    </row>
    <row r="1093" spans="1:12" hidden="1">
      <c r="A1093" s="37" t="s">
        <v>1904</v>
      </c>
      <c r="B1093" s="37"/>
      <c r="C1093" s="37" t="s">
        <v>1902</v>
      </c>
      <c r="D1093" s="64">
        <v>16540</v>
      </c>
      <c r="E1093" s="38">
        <v>2.96</v>
      </c>
      <c r="F1093" s="39">
        <v>1.0705966</v>
      </c>
      <c r="G1093" s="38">
        <v>0.21278068999999999</v>
      </c>
      <c r="H1093" s="38">
        <v>0.18086906</v>
      </c>
      <c r="I1093" s="38">
        <v>0.19573656</v>
      </c>
      <c r="J1093" s="38">
        <v>3.9319684000000001E-2</v>
      </c>
      <c r="K1093" s="38">
        <v>6.6736979E-3</v>
      </c>
      <c r="L1093" s="40">
        <v>1.7059762919000001</v>
      </c>
    </row>
    <row r="1094" spans="1:12" hidden="1">
      <c r="A1094" s="37" t="s">
        <v>1905</v>
      </c>
      <c r="B1094" s="37"/>
      <c r="C1094" s="37" t="s">
        <v>1902</v>
      </c>
      <c r="D1094" s="64">
        <v>16560</v>
      </c>
      <c r="E1094" s="38">
        <v>2.96</v>
      </c>
      <c r="F1094" s="39">
        <v>1.0705966</v>
      </c>
      <c r="G1094" s="38">
        <v>0.21278068999999999</v>
      </c>
      <c r="H1094" s="38">
        <v>0.18086906</v>
      </c>
      <c r="I1094" s="38">
        <v>0.19573656</v>
      </c>
      <c r="J1094" s="38">
        <v>3.9319684000000001E-2</v>
      </c>
      <c r="K1094" s="38">
        <v>6.6736979E-3</v>
      </c>
      <c r="L1094" s="40">
        <v>1.7059762919000001</v>
      </c>
    </row>
    <row r="1095" spans="1:12" hidden="1">
      <c r="A1095" s="37" t="s">
        <v>1906</v>
      </c>
      <c r="B1095" s="37"/>
      <c r="C1095" s="37" t="s">
        <v>640</v>
      </c>
      <c r="D1095" s="64">
        <v>12123</v>
      </c>
      <c r="E1095" s="38">
        <v>2.2400000000000002</v>
      </c>
      <c r="F1095" s="39">
        <v>5.1696923000000004</v>
      </c>
      <c r="G1095" s="38">
        <v>0.39438596999999997</v>
      </c>
      <c r="H1095" s="38">
        <v>0.26233268999999998</v>
      </c>
      <c r="I1095" s="38">
        <v>0.21100323000000001</v>
      </c>
      <c r="J1095" s="38">
        <v>3.5969872999999999E-2</v>
      </c>
      <c r="K1095" s="38">
        <v>6.6736979E-3</v>
      </c>
      <c r="L1095" s="40">
        <v>6.0800577609000008</v>
      </c>
    </row>
    <row r="1096" spans="1:12" hidden="1">
      <c r="A1096" s="37" t="s">
        <v>1907</v>
      </c>
      <c r="B1096" s="37"/>
      <c r="C1096" s="37" t="s">
        <v>811</v>
      </c>
      <c r="D1096" s="64">
        <v>25052</v>
      </c>
      <c r="E1096" s="38">
        <v>3.27</v>
      </c>
      <c r="F1096" s="39">
        <v>0.92101321999999997</v>
      </c>
      <c r="G1096" s="38">
        <v>0.20453436</v>
      </c>
      <c r="H1096" s="38">
        <v>0.18549789</v>
      </c>
      <c r="I1096" s="38">
        <v>0.22962925000000001</v>
      </c>
      <c r="J1096" s="38">
        <v>3.7768032999999999E-2</v>
      </c>
      <c r="K1096" s="38">
        <v>1.7696322E-2</v>
      </c>
      <c r="L1096" s="40">
        <v>1.5961390749999997</v>
      </c>
    </row>
    <row r="1097" spans="1:12" hidden="1">
      <c r="A1097" s="37" t="s">
        <v>1908</v>
      </c>
      <c r="B1097" s="37"/>
      <c r="C1097" s="37" t="s">
        <v>811</v>
      </c>
      <c r="D1097" s="64">
        <v>25056</v>
      </c>
      <c r="E1097" s="38">
        <v>1.81</v>
      </c>
      <c r="F1097" s="39">
        <v>0.96838192999999995</v>
      </c>
      <c r="G1097" s="38">
        <v>0.21078040000000001</v>
      </c>
      <c r="H1097" s="38">
        <v>0.18549789</v>
      </c>
      <c r="I1097" s="38">
        <v>0.22411800000000001</v>
      </c>
      <c r="J1097" s="38">
        <v>3.7768032999999999E-2</v>
      </c>
      <c r="K1097" s="38">
        <v>1.7696322E-2</v>
      </c>
      <c r="L1097" s="40">
        <v>1.644242575</v>
      </c>
    </row>
    <row r="1098" spans="1:12" hidden="1">
      <c r="A1098" s="37" t="s">
        <v>1909</v>
      </c>
      <c r="B1098" s="37"/>
      <c r="C1098" s="37" t="s">
        <v>811</v>
      </c>
      <c r="D1098" s="64">
        <v>25101</v>
      </c>
      <c r="E1098" s="38">
        <v>1.81</v>
      </c>
      <c r="F1098" s="39">
        <v>0.91802532999999997</v>
      </c>
      <c r="G1098" s="38">
        <v>0.22041119000000001</v>
      </c>
      <c r="H1098" s="38">
        <v>0.18549789</v>
      </c>
      <c r="I1098" s="38">
        <v>0.22575069</v>
      </c>
      <c r="J1098" s="38">
        <v>3.7768032999999999E-2</v>
      </c>
      <c r="K1098" s="38">
        <v>1.7696322E-2</v>
      </c>
      <c r="L1098" s="40">
        <v>1.6051494549999998</v>
      </c>
    </row>
    <row r="1099" spans="1:12" hidden="1">
      <c r="A1099" s="41" t="s">
        <v>1910</v>
      </c>
      <c r="B1099" s="41"/>
      <c r="C1099" s="41" t="s">
        <v>811</v>
      </c>
      <c r="D1099" s="65">
        <v>25162</v>
      </c>
      <c r="E1099" s="42">
        <v>2.83</v>
      </c>
      <c r="F1099" s="43">
        <v>0.92101321999999997</v>
      </c>
      <c r="G1099" s="42">
        <v>0.20453436</v>
      </c>
      <c r="H1099" s="42">
        <v>0.18549789</v>
      </c>
      <c r="I1099" s="42">
        <v>0.22962925000000001</v>
      </c>
      <c r="J1099" s="42">
        <v>3.7768032999999999E-2</v>
      </c>
      <c r="K1099" s="42">
        <v>1.7696322E-2</v>
      </c>
      <c r="L1099" s="44">
        <v>1.5961390749999997</v>
      </c>
    </row>
    <row r="1100" spans="1:12" hidden="1">
      <c r="A1100" s="41" t="s">
        <v>1911</v>
      </c>
      <c r="B1100" s="41"/>
      <c r="C1100" s="41" t="s">
        <v>811</v>
      </c>
      <c r="D1100" s="65">
        <v>25588</v>
      </c>
      <c r="E1100" s="42">
        <v>2.2000000000000002</v>
      </c>
      <c r="F1100" s="43">
        <v>0.91802532999999997</v>
      </c>
      <c r="G1100" s="42">
        <v>0.22041119000000001</v>
      </c>
      <c r="H1100" s="42">
        <v>0.18549789</v>
      </c>
      <c r="I1100" s="42">
        <v>0.22575069</v>
      </c>
      <c r="J1100" s="42">
        <v>3.7768032999999999E-2</v>
      </c>
      <c r="K1100" s="42">
        <v>1.7696322E-2</v>
      </c>
      <c r="L1100" s="44">
        <v>1.6051494549999998</v>
      </c>
    </row>
    <row r="1101" spans="1:12" hidden="1">
      <c r="A1101" s="37" t="s">
        <v>1912</v>
      </c>
      <c r="B1101" s="37"/>
      <c r="C1101" s="37" t="s">
        <v>811</v>
      </c>
      <c r="D1101" s="64">
        <v>25122</v>
      </c>
      <c r="E1101" s="38">
        <v>2.29</v>
      </c>
      <c r="F1101" s="39">
        <v>1.6185328999999999</v>
      </c>
      <c r="G1101" s="38">
        <v>0.70724606999999995</v>
      </c>
      <c r="H1101" s="38">
        <v>0.18194642</v>
      </c>
      <c r="I1101" s="38">
        <v>0.21044715999999999</v>
      </c>
      <c r="J1101" s="38">
        <v>2.6628465E-2</v>
      </c>
      <c r="K1101" s="38">
        <v>1.7696322E-2</v>
      </c>
      <c r="L1101" s="40">
        <v>2.7624973370000001</v>
      </c>
    </row>
    <row r="1102" spans="1:12" hidden="1">
      <c r="A1102" s="37" t="s">
        <v>1913</v>
      </c>
      <c r="B1102" s="37"/>
      <c r="C1102" s="37" t="s">
        <v>811</v>
      </c>
      <c r="D1102" s="64">
        <v>25154</v>
      </c>
      <c r="E1102" s="38">
        <v>2.78</v>
      </c>
      <c r="F1102" s="39">
        <v>7.0675667999999998</v>
      </c>
      <c r="G1102" s="38">
        <v>0.26418796</v>
      </c>
      <c r="H1102" s="38">
        <v>0.18549789</v>
      </c>
      <c r="I1102" s="38">
        <v>0.90675998000000002</v>
      </c>
      <c r="J1102" s="38">
        <v>3.7768032999999999E-2</v>
      </c>
      <c r="K1102" s="38">
        <v>1.7696322E-2</v>
      </c>
      <c r="L1102" s="40">
        <v>8.4794769850000016</v>
      </c>
    </row>
    <row r="1103" spans="1:12" hidden="1">
      <c r="A1103" s="37" t="s">
        <v>1914</v>
      </c>
      <c r="B1103" s="37"/>
      <c r="C1103" s="37" t="s">
        <v>811</v>
      </c>
      <c r="D1103" s="64">
        <v>25037</v>
      </c>
      <c r="E1103" s="38">
        <v>2.83</v>
      </c>
      <c r="F1103" s="39">
        <v>7.2963718000000002</v>
      </c>
      <c r="G1103" s="38">
        <v>0.40955657000000001</v>
      </c>
      <c r="H1103" s="38">
        <v>0.18549789</v>
      </c>
      <c r="I1103" s="38">
        <v>0.83923585999999994</v>
      </c>
      <c r="J1103" s="38">
        <v>3.7768032999999999E-2</v>
      </c>
      <c r="K1103" s="38">
        <v>1.7696322E-2</v>
      </c>
      <c r="L1103" s="40">
        <v>8.7861264750000014</v>
      </c>
    </row>
    <row r="1104" spans="1:12" hidden="1">
      <c r="A1104" s="37" t="s">
        <v>1915</v>
      </c>
      <c r="B1104" s="37"/>
      <c r="C1104" s="37" t="s">
        <v>811</v>
      </c>
      <c r="D1104" s="64">
        <v>25038</v>
      </c>
      <c r="E1104" s="38">
        <v>3.27</v>
      </c>
      <c r="F1104" s="39">
        <v>6.9733935999999996</v>
      </c>
      <c r="G1104" s="38">
        <v>0.83571052999999995</v>
      </c>
      <c r="H1104" s="38">
        <v>0.18042667000000001</v>
      </c>
      <c r="I1104" s="38">
        <v>0.80411717999999999</v>
      </c>
      <c r="J1104" s="38">
        <v>6.5229756E-2</v>
      </c>
      <c r="K1104" s="38">
        <v>3.6274453999999998E-2</v>
      </c>
      <c r="L1104" s="40">
        <v>8.895152190000001</v>
      </c>
    </row>
    <row r="1105" spans="1:12" hidden="1">
      <c r="A1105" s="37" t="s">
        <v>1916</v>
      </c>
      <c r="B1105" s="37"/>
      <c r="C1105" s="37" t="s">
        <v>634</v>
      </c>
      <c r="D1105" s="64">
        <v>13018</v>
      </c>
      <c r="E1105" s="38">
        <v>3.12</v>
      </c>
      <c r="F1105" s="39">
        <v>0.12490846999999999</v>
      </c>
      <c r="G1105" s="38">
        <v>0</v>
      </c>
      <c r="H1105" s="38">
        <v>0</v>
      </c>
      <c r="I1105" s="38">
        <v>0.27356253000000003</v>
      </c>
      <c r="J1105" s="38">
        <v>6.7501727000000003E-3</v>
      </c>
      <c r="K1105" s="38">
        <v>8.0351048999999994E-2</v>
      </c>
      <c r="L1105" s="40">
        <v>0.48557222170000003</v>
      </c>
    </row>
    <row r="1106" spans="1:12" hidden="1">
      <c r="A1106" s="41" t="s">
        <v>1917</v>
      </c>
      <c r="B1106" s="41"/>
      <c r="C1106" s="41" t="s">
        <v>826</v>
      </c>
      <c r="D1106" s="65">
        <v>26128</v>
      </c>
      <c r="E1106" s="42">
        <v>3.64</v>
      </c>
      <c r="F1106" s="43">
        <v>9.3213296000000003</v>
      </c>
      <c r="G1106" s="42">
        <v>0</v>
      </c>
      <c r="H1106" s="42">
        <v>0.27530876999999998</v>
      </c>
      <c r="I1106" s="42">
        <v>1.1705296999999999</v>
      </c>
      <c r="J1106" s="42">
        <v>3.7353873000000003E-2</v>
      </c>
      <c r="K1106" s="42">
        <v>6.6736979E-3</v>
      </c>
      <c r="L1106" s="44">
        <v>10.811195640900001</v>
      </c>
    </row>
    <row r="1107" spans="1:12" hidden="1">
      <c r="A1107" s="37" t="s">
        <v>1918</v>
      </c>
      <c r="B1107" s="37"/>
      <c r="C1107" s="37" t="s">
        <v>826</v>
      </c>
      <c r="D1107" s="64">
        <v>26214</v>
      </c>
      <c r="E1107" s="38">
        <v>3.68</v>
      </c>
      <c r="F1107" s="39">
        <v>5.3642747000000002</v>
      </c>
      <c r="G1107" s="38">
        <v>0</v>
      </c>
      <c r="H1107" s="38">
        <v>0.27530876999999998</v>
      </c>
      <c r="I1107" s="38">
        <v>1.0812781</v>
      </c>
      <c r="J1107" s="38">
        <v>3.7353873000000003E-2</v>
      </c>
      <c r="K1107" s="38">
        <v>6.6736979E-3</v>
      </c>
      <c r="L1107" s="40">
        <v>6.7648891409000003</v>
      </c>
    </row>
    <row r="1108" spans="1:12" hidden="1">
      <c r="A1108" s="37" t="s">
        <v>1919</v>
      </c>
      <c r="B1108" s="37"/>
      <c r="C1108" s="37" t="s">
        <v>861</v>
      </c>
      <c r="D1108" s="64">
        <v>7525</v>
      </c>
      <c r="E1108" s="38">
        <v>1.95</v>
      </c>
      <c r="F1108" s="39">
        <v>0.39537812</v>
      </c>
      <c r="G1108" s="38">
        <v>0.18301110000000001</v>
      </c>
      <c r="H1108" s="38">
        <v>0.10989837</v>
      </c>
      <c r="I1108" s="38">
        <v>0.1282568</v>
      </c>
      <c r="J1108" s="38">
        <v>4.7861880000000002E-3</v>
      </c>
      <c r="K1108" s="38">
        <v>0</v>
      </c>
      <c r="L1108" s="40">
        <v>0.82133057799999998</v>
      </c>
    </row>
    <row r="1109" spans="1:12" hidden="1">
      <c r="A1109" s="37" t="s">
        <v>1920</v>
      </c>
      <c r="B1109" s="37"/>
      <c r="C1109" s="37" t="s">
        <v>634</v>
      </c>
      <c r="D1109" s="64">
        <v>13110</v>
      </c>
      <c r="E1109" s="38">
        <v>2.36</v>
      </c>
      <c r="F1109" s="39">
        <v>0.60236424</v>
      </c>
      <c r="G1109" s="38">
        <v>0</v>
      </c>
      <c r="H1109" s="38">
        <v>0</v>
      </c>
      <c r="I1109" s="38">
        <v>0.27356253000000003</v>
      </c>
      <c r="J1109" s="38">
        <v>1.2765701000000001E-2</v>
      </c>
      <c r="K1109" s="38">
        <v>8.0351048999999994E-2</v>
      </c>
      <c r="L1109" s="40">
        <v>0.96904351999999994</v>
      </c>
    </row>
    <row r="1110" spans="1:12" hidden="1">
      <c r="A1110" s="41" t="s">
        <v>1921</v>
      </c>
      <c r="B1110" s="41"/>
      <c r="C1110" s="41" t="s">
        <v>826</v>
      </c>
      <c r="D1110" s="65">
        <v>26219</v>
      </c>
      <c r="E1110" s="42">
        <v>3.64</v>
      </c>
      <c r="F1110" s="43">
        <v>9.3213296000000003</v>
      </c>
      <c r="G1110" s="42">
        <v>0</v>
      </c>
      <c r="H1110" s="42">
        <v>0.27530876999999998</v>
      </c>
      <c r="I1110" s="42">
        <v>1.1705296999999999</v>
      </c>
      <c r="J1110" s="42">
        <v>3.7353873000000003E-2</v>
      </c>
      <c r="K1110" s="42">
        <v>6.6736979E-3</v>
      </c>
      <c r="L1110" s="44">
        <v>10.811195640900001</v>
      </c>
    </row>
    <row r="1111" spans="1:12" hidden="1">
      <c r="A1111" s="41" t="s">
        <v>1922</v>
      </c>
      <c r="B1111" s="41"/>
      <c r="C1111" s="41" t="s">
        <v>826</v>
      </c>
      <c r="D1111" s="65">
        <v>26106</v>
      </c>
      <c r="E1111" s="42">
        <v>3.64</v>
      </c>
      <c r="F1111" s="43">
        <v>5.3474227000000001</v>
      </c>
      <c r="G1111" s="42">
        <v>0</v>
      </c>
      <c r="H1111" s="42">
        <v>0.27530876999999998</v>
      </c>
      <c r="I1111" s="42">
        <v>1.0455774</v>
      </c>
      <c r="J1111" s="42">
        <v>3.7353873000000003E-2</v>
      </c>
      <c r="K1111" s="42">
        <v>6.6736979E-3</v>
      </c>
      <c r="L1111" s="44">
        <v>6.7123364408999997</v>
      </c>
    </row>
    <row r="1112" spans="1:12" hidden="1">
      <c r="A1112" s="37" t="s">
        <v>1923</v>
      </c>
      <c r="B1112" s="37"/>
      <c r="C1112" s="37" t="s">
        <v>634</v>
      </c>
      <c r="D1112" s="64">
        <v>13020</v>
      </c>
      <c r="E1112" s="38">
        <v>3.01</v>
      </c>
      <c r="F1112" s="39">
        <v>0.91727249</v>
      </c>
      <c r="G1112" s="38">
        <v>0</v>
      </c>
      <c r="H1112" s="38">
        <v>0</v>
      </c>
      <c r="I1112" s="38">
        <v>0.35093607999999998</v>
      </c>
      <c r="J1112" s="38">
        <v>1.3720184E-2</v>
      </c>
      <c r="K1112" s="38">
        <v>3.2140419000000003E-2</v>
      </c>
      <c r="L1112" s="40">
        <v>1.3140691730000003</v>
      </c>
    </row>
    <row r="1113" spans="1:12" hidden="1">
      <c r="A1113" s="41" t="s">
        <v>1924</v>
      </c>
      <c r="B1113" s="41"/>
      <c r="C1113" s="41" t="s">
        <v>634</v>
      </c>
      <c r="D1113" s="65">
        <v>13019</v>
      </c>
      <c r="E1113" s="42">
        <v>2.92</v>
      </c>
      <c r="F1113" s="43">
        <v>1.4268828</v>
      </c>
      <c r="G1113" s="42">
        <v>0</v>
      </c>
      <c r="H1113" s="42">
        <v>0</v>
      </c>
      <c r="I1113" s="42">
        <v>0.27356253000000003</v>
      </c>
      <c r="J1113" s="42">
        <v>6.7501727000000003E-3</v>
      </c>
      <c r="K1113" s="42">
        <v>8.0351048999999994E-2</v>
      </c>
      <c r="L1113" s="44">
        <v>1.7875465516999998</v>
      </c>
    </row>
    <row r="1114" spans="1:12" hidden="1">
      <c r="A1114" s="37" t="s">
        <v>1925</v>
      </c>
      <c r="B1114" s="37"/>
      <c r="C1114" s="37" t="s">
        <v>640</v>
      </c>
      <c r="D1114" s="64">
        <v>12114</v>
      </c>
      <c r="E1114" s="38">
        <v>1.81</v>
      </c>
      <c r="F1114" s="39">
        <v>5.2885619999999998</v>
      </c>
      <c r="G1114" s="38">
        <v>0.38334317000000001</v>
      </c>
      <c r="H1114" s="38">
        <v>0.26233268999999998</v>
      </c>
      <c r="I1114" s="38">
        <v>0.21100323000000001</v>
      </c>
      <c r="J1114" s="38">
        <v>3.5969872999999999E-2</v>
      </c>
      <c r="K1114" s="38">
        <v>6.6736979E-3</v>
      </c>
      <c r="L1114" s="40">
        <v>6.1878846609</v>
      </c>
    </row>
    <row r="1115" spans="1:12" hidden="1">
      <c r="A1115" s="37" t="s">
        <v>1926</v>
      </c>
      <c r="B1115" s="37"/>
      <c r="C1115" s="37" t="s">
        <v>640</v>
      </c>
      <c r="D1115" s="64">
        <v>12113</v>
      </c>
      <c r="E1115" s="38">
        <v>1.81</v>
      </c>
      <c r="F1115" s="39">
        <v>5.2056697999999999</v>
      </c>
      <c r="G1115" s="38">
        <v>0.39044211000000001</v>
      </c>
      <c r="H1115" s="38">
        <v>0.26233268999999998</v>
      </c>
      <c r="I1115" s="38">
        <v>0.21100323000000001</v>
      </c>
      <c r="J1115" s="38">
        <v>3.5969872999999999E-2</v>
      </c>
      <c r="K1115" s="38">
        <v>6.6736979E-3</v>
      </c>
      <c r="L1115" s="40">
        <v>6.1120914009000007</v>
      </c>
    </row>
    <row r="1116" spans="1:12" hidden="1">
      <c r="A1116" s="37" t="s">
        <v>1927</v>
      </c>
      <c r="B1116" s="37"/>
      <c r="C1116" s="37" t="s">
        <v>1454</v>
      </c>
      <c r="D1116" s="64">
        <v>25620</v>
      </c>
      <c r="E1116" s="38">
        <v>2.5099999999999998</v>
      </c>
      <c r="F1116" s="39">
        <v>0.67279553000000003</v>
      </c>
      <c r="G1116" s="38">
        <v>0.22773194999999999</v>
      </c>
      <c r="H1116" s="38">
        <v>0.17071537000000001</v>
      </c>
      <c r="I1116" s="38">
        <v>0.35020722999999998</v>
      </c>
      <c r="J1116" s="38">
        <v>3.7768032999999999E-2</v>
      </c>
      <c r="K1116" s="38">
        <v>6.6736979E-3</v>
      </c>
      <c r="L1116" s="40">
        <v>1.4658918109000001</v>
      </c>
    </row>
    <row r="1117" spans="1:12" hidden="1">
      <c r="A1117" s="37" t="s">
        <v>1928</v>
      </c>
      <c r="B1117" s="37"/>
      <c r="C1117" s="37" t="s">
        <v>666</v>
      </c>
      <c r="D1117" s="64">
        <v>31050</v>
      </c>
      <c r="E1117" s="38">
        <v>2.35</v>
      </c>
      <c r="F1117" s="39">
        <v>0.59089325999999998</v>
      </c>
      <c r="G1117" s="38">
        <v>0.63835171000000002</v>
      </c>
      <c r="H1117" s="38">
        <v>0.18549789</v>
      </c>
      <c r="I1117" s="38">
        <v>0.18836958000000001</v>
      </c>
      <c r="J1117" s="38">
        <v>1.7263204000000001E-2</v>
      </c>
      <c r="K1117" s="38">
        <v>0</v>
      </c>
      <c r="L1117" s="40">
        <v>1.6203756439999999</v>
      </c>
    </row>
    <row r="1118" spans="1:12" hidden="1">
      <c r="A1118" s="37" t="s">
        <v>1929</v>
      </c>
      <c r="B1118" s="37"/>
      <c r="C1118" s="37" t="s">
        <v>1005</v>
      </c>
      <c r="D1118" s="64">
        <v>6260</v>
      </c>
      <c r="E1118" s="38">
        <v>2.68</v>
      </c>
      <c r="F1118" s="39">
        <v>15.473496000000001</v>
      </c>
      <c r="G1118" s="38">
        <v>0.27730647000000003</v>
      </c>
      <c r="H1118" s="38">
        <v>0.26890196</v>
      </c>
      <c r="I1118" s="38">
        <v>0.20789821999999999</v>
      </c>
      <c r="J1118" s="38">
        <v>3.7353873000000003E-2</v>
      </c>
      <c r="K1118" s="38">
        <v>6.6736979E-3</v>
      </c>
      <c r="L1118" s="40">
        <v>16.271630220900001</v>
      </c>
    </row>
    <row r="1119" spans="1:12" hidden="1">
      <c r="A1119" s="41" t="s">
        <v>1930</v>
      </c>
      <c r="B1119" s="41"/>
      <c r="C1119" s="41" t="s">
        <v>631</v>
      </c>
      <c r="D1119" s="65">
        <v>28927</v>
      </c>
      <c r="E1119" s="42">
        <v>2.67</v>
      </c>
      <c r="F1119" s="43">
        <v>6.8523363000000002</v>
      </c>
      <c r="G1119" s="42">
        <v>1.4273321999999999</v>
      </c>
      <c r="H1119" s="42">
        <v>0.36447298</v>
      </c>
      <c r="I1119" s="42">
        <v>0.32225175</v>
      </c>
      <c r="J1119" s="42">
        <v>4.9451666999999998E-2</v>
      </c>
      <c r="K1119" s="42">
        <v>9.4725686000000003E-2</v>
      </c>
      <c r="L1119" s="44">
        <v>9.1105705829999994</v>
      </c>
    </row>
    <row r="1120" spans="1:12" hidden="1">
      <c r="A1120" s="41" t="s">
        <v>1931</v>
      </c>
      <c r="B1120" s="41"/>
      <c r="C1120" s="41" t="s">
        <v>1115</v>
      </c>
      <c r="D1120" s="65" t="s">
        <v>1932</v>
      </c>
      <c r="E1120" s="42">
        <v>1.9639514706612098</v>
      </c>
      <c r="F1120" s="43">
        <v>0.16254515</v>
      </c>
      <c r="G1120" s="42">
        <v>1.0634775999999999</v>
      </c>
      <c r="H1120" s="42">
        <v>0.23319340999999999</v>
      </c>
      <c r="I1120" s="42">
        <v>0.21615745</v>
      </c>
      <c r="J1120" s="42">
        <v>4.0598703E-2</v>
      </c>
      <c r="K1120" s="42">
        <v>8.8525082000000005E-2</v>
      </c>
      <c r="L1120" s="44">
        <v>1.8044973949999998</v>
      </c>
    </row>
    <row r="1121" spans="1:12" hidden="1">
      <c r="A1121" s="41" t="s">
        <v>1933</v>
      </c>
      <c r="B1121" s="41"/>
      <c r="C1121" s="41" t="s">
        <v>811</v>
      </c>
      <c r="D1121" s="65">
        <v>25009</v>
      </c>
      <c r="E1121" s="42">
        <v>1.97</v>
      </c>
      <c r="F1121" s="43">
        <v>10.310517000000001</v>
      </c>
      <c r="G1121" s="42">
        <v>0.24948716000000001</v>
      </c>
      <c r="H1121" s="42">
        <v>0.18549789</v>
      </c>
      <c r="I1121" s="42">
        <v>0.22518225</v>
      </c>
      <c r="J1121" s="42">
        <v>3.7768032999999999E-2</v>
      </c>
      <c r="K1121" s="42">
        <v>1.7696322E-2</v>
      </c>
      <c r="L1121" s="44">
        <v>11.026148655000002</v>
      </c>
    </row>
    <row r="1122" spans="1:12" hidden="1">
      <c r="A1122" s="37" t="s">
        <v>1934</v>
      </c>
      <c r="B1122" s="37"/>
      <c r="C1122" s="37" t="s">
        <v>873</v>
      </c>
      <c r="D1122" s="64">
        <v>26090</v>
      </c>
      <c r="E1122" s="38">
        <v>3.1</v>
      </c>
      <c r="F1122" s="39">
        <v>9.3213296000000003</v>
      </c>
      <c r="G1122" s="38">
        <v>0</v>
      </c>
      <c r="H1122" s="38">
        <v>0.16951947000000001</v>
      </c>
      <c r="I1122" s="38">
        <v>1.1705296999999999</v>
      </c>
      <c r="J1122" s="38">
        <v>2.4135936E-2</v>
      </c>
      <c r="K1122" s="38">
        <v>6.6736979E-3</v>
      </c>
      <c r="L1122" s="40">
        <v>10.692188403899999</v>
      </c>
    </row>
    <row r="1123" spans="1:12" hidden="1">
      <c r="A1123" s="37" t="s">
        <v>1935</v>
      </c>
      <c r="B1123" s="37"/>
      <c r="C1123" s="37" t="s">
        <v>674</v>
      </c>
      <c r="D1123" s="64">
        <v>25413</v>
      </c>
      <c r="E1123" s="38">
        <v>1.96</v>
      </c>
      <c r="F1123" s="39">
        <v>16.128723999999998</v>
      </c>
      <c r="G1123" s="38">
        <v>0.28405814000000001</v>
      </c>
      <c r="H1123" s="38">
        <v>0.27085078000000001</v>
      </c>
      <c r="I1123" s="38">
        <v>0.20986843999999999</v>
      </c>
      <c r="J1123" s="38">
        <v>3.7768032999999999E-2</v>
      </c>
      <c r="K1123" s="38">
        <v>9.2564276000000001E-2</v>
      </c>
      <c r="L1123" s="40">
        <v>17.023833668999998</v>
      </c>
    </row>
    <row r="1124" spans="1:12" hidden="1">
      <c r="A1124" s="37" t="s">
        <v>1936</v>
      </c>
      <c r="B1124" s="37"/>
      <c r="C1124" s="37" t="s">
        <v>873</v>
      </c>
      <c r="D1124" s="64">
        <v>26232</v>
      </c>
      <c r="E1124" s="38">
        <v>3.1</v>
      </c>
      <c r="F1124" s="39">
        <v>1.0797477</v>
      </c>
      <c r="G1124" s="38">
        <v>0</v>
      </c>
      <c r="H1124" s="38">
        <v>0.16951947000000001</v>
      </c>
      <c r="I1124" s="38">
        <v>0.90277483999999997</v>
      </c>
      <c r="J1124" s="38">
        <v>2.4135936E-2</v>
      </c>
      <c r="K1124" s="38">
        <v>6.6736979E-3</v>
      </c>
      <c r="L1124" s="40">
        <v>2.1828516438999999</v>
      </c>
    </row>
    <row r="1125" spans="1:12" hidden="1">
      <c r="A1125" s="37" t="s">
        <v>1937</v>
      </c>
      <c r="B1125" s="37"/>
      <c r="C1125" s="37" t="s">
        <v>873</v>
      </c>
      <c r="D1125" s="64">
        <v>26013</v>
      </c>
      <c r="E1125" s="38">
        <v>3.03</v>
      </c>
      <c r="F1125" s="39">
        <v>1.0797477</v>
      </c>
      <c r="G1125" s="38">
        <v>0</v>
      </c>
      <c r="H1125" s="38">
        <v>0.16951947000000001</v>
      </c>
      <c r="I1125" s="38">
        <v>0.90277483999999997</v>
      </c>
      <c r="J1125" s="38">
        <v>2.4135936E-2</v>
      </c>
      <c r="K1125" s="38">
        <v>6.6736979E-3</v>
      </c>
      <c r="L1125" s="40">
        <v>2.1828516438999999</v>
      </c>
    </row>
    <row r="1126" spans="1:12" hidden="1">
      <c r="A1126" s="37" t="s">
        <v>1938</v>
      </c>
      <c r="B1126" s="37"/>
      <c r="C1126" s="37" t="s">
        <v>873</v>
      </c>
      <c r="D1126" s="64">
        <v>25998</v>
      </c>
      <c r="E1126" s="38">
        <v>3.1</v>
      </c>
      <c r="F1126" s="39">
        <v>1.0797477</v>
      </c>
      <c r="G1126" s="38">
        <v>0</v>
      </c>
      <c r="H1126" s="38">
        <v>0.16951947000000001</v>
      </c>
      <c r="I1126" s="38">
        <v>0.90277483999999997</v>
      </c>
      <c r="J1126" s="38">
        <v>2.4135936E-2</v>
      </c>
      <c r="K1126" s="38">
        <v>6.6736979E-3</v>
      </c>
      <c r="L1126" s="40">
        <v>2.1828516438999999</v>
      </c>
    </row>
    <row r="1127" spans="1:12" hidden="1">
      <c r="A1127" s="37" t="s">
        <v>1939</v>
      </c>
      <c r="B1127" s="37"/>
      <c r="C1127" s="37" t="s">
        <v>826</v>
      </c>
      <c r="D1127" s="64">
        <v>26238</v>
      </c>
      <c r="E1127" s="38">
        <v>3.78</v>
      </c>
      <c r="F1127" s="39">
        <v>1.0797477</v>
      </c>
      <c r="G1127" s="38">
        <v>0</v>
      </c>
      <c r="H1127" s="38">
        <v>0.27530876999999998</v>
      </c>
      <c r="I1127" s="38">
        <v>0.90277483999999997</v>
      </c>
      <c r="J1127" s="38">
        <v>3.7353873000000003E-2</v>
      </c>
      <c r="K1127" s="38">
        <v>6.6736979E-3</v>
      </c>
      <c r="L1127" s="40">
        <v>2.3018588809000002</v>
      </c>
    </row>
    <row r="1128" spans="1:12" hidden="1">
      <c r="A1128" s="37" t="s">
        <v>1940</v>
      </c>
      <c r="B1128" s="37"/>
      <c r="C1128" s="37" t="s">
        <v>826</v>
      </c>
      <c r="D1128" s="64">
        <v>26237</v>
      </c>
      <c r="E1128" s="38">
        <v>3.57</v>
      </c>
      <c r="F1128" s="39">
        <v>1.0797477</v>
      </c>
      <c r="G1128" s="38">
        <v>0</v>
      </c>
      <c r="H1128" s="38">
        <v>0.27530876999999998</v>
      </c>
      <c r="I1128" s="38">
        <v>0.90277483999999997</v>
      </c>
      <c r="J1128" s="38">
        <v>3.7353873000000003E-2</v>
      </c>
      <c r="K1128" s="38">
        <v>6.6736979E-3</v>
      </c>
      <c r="L1128" s="40">
        <v>2.3018588809000002</v>
      </c>
    </row>
    <row r="1129" spans="1:12" hidden="1">
      <c r="A1129" s="37" t="s">
        <v>1941</v>
      </c>
      <c r="B1129" s="37"/>
      <c r="C1129" s="37" t="s">
        <v>782</v>
      </c>
      <c r="D1129" s="64">
        <v>26010</v>
      </c>
      <c r="E1129" s="38">
        <v>3.78</v>
      </c>
      <c r="F1129" s="39">
        <v>1.0797477</v>
      </c>
      <c r="G1129" s="38">
        <v>0</v>
      </c>
      <c r="H1129" s="38">
        <v>0.27530876999999998</v>
      </c>
      <c r="I1129" s="38">
        <v>0.90277483999999997</v>
      </c>
      <c r="J1129" s="38">
        <v>3.7353873000000003E-2</v>
      </c>
      <c r="K1129" s="38">
        <v>6.6736979E-3</v>
      </c>
      <c r="L1129" s="40">
        <v>2.3018588809000002</v>
      </c>
    </row>
    <row r="1130" spans="1:12" hidden="1">
      <c r="A1130" s="37" t="s">
        <v>1942</v>
      </c>
      <c r="B1130" s="37"/>
      <c r="C1130" s="37" t="s">
        <v>826</v>
      </c>
      <c r="D1130" s="64">
        <v>26011</v>
      </c>
      <c r="E1130" s="38">
        <v>3.57</v>
      </c>
      <c r="F1130" s="39">
        <v>1.0797477</v>
      </c>
      <c r="G1130" s="38">
        <v>0</v>
      </c>
      <c r="H1130" s="38">
        <v>0.27530876999999998</v>
      </c>
      <c r="I1130" s="38">
        <v>0.90277483999999997</v>
      </c>
      <c r="J1130" s="38">
        <v>3.7353873000000003E-2</v>
      </c>
      <c r="K1130" s="38">
        <v>6.6736979E-3</v>
      </c>
      <c r="L1130" s="40">
        <v>2.3018588809000002</v>
      </c>
    </row>
    <row r="1131" spans="1:12" hidden="1">
      <c r="A1131" s="37" t="s">
        <v>1943</v>
      </c>
      <c r="B1131" s="37"/>
      <c r="C1131" s="37" t="s">
        <v>873</v>
      </c>
      <c r="D1131" s="64">
        <v>26012</v>
      </c>
      <c r="E1131" s="38">
        <v>3.46</v>
      </c>
      <c r="F1131" s="39">
        <v>1.3302069999999999</v>
      </c>
      <c r="G1131" s="38">
        <v>1.2618731E-3</v>
      </c>
      <c r="H1131" s="38">
        <v>0.22495896000000001</v>
      </c>
      <c r="I1131" s="38">
        <v>1.1030804999999999</v>
      </c>
      <c r="J1131" s="38">
        <v>4.5611246000000001E-2</v>
      </c>
      <c r="K1131" s="38">
        <v>0.11549598</v>
      </c>
      <c r="L1131" s="40">
        <v>2.8206155590999997</v>
      </c>
    </row>
    <row r="1132" spans="1:12" hidden="1">
      <c r="A1132" s="37" t="s">
        <v>1944</v>
      </c>
      <c r="B1132" s="37"/>
      <c r="C1132" s="37" t="s">
        <v>873</v>
      </c>
      <c r="D1132" s="64">
        <v>26014</v>
      </c>
      <c r="E1132" s="38">
        <v>3.46</v>
      </c>
      <c r="F1132" s="39">
        <v>1.3302069999999999</v>
      </c>
      <c r="G1132" s="38">
        <v>1.2618731E-3</v>
      </c>
      <c r="H1132" s="38">
        <v>0.22495896000000001</v>
      </c>
      <c r="I1132" s="38">
        <v>1.1030804999999999</v>
      </c>
      <c r="J1132" s="38">
        <v>4.5611246000000001E-2</v>
      </c>
      <c r="K1132" s="38">
        <v>0.11549598</v>
      </c>
      <c r="L1132" s="40">
        <v>2.8206155590999997</v>
      </c>
    </row>
    <row r="1133" spans="1:12" hidden="1">
      <c r="A1133" s="37" t="s">
        <v>1945</v>
      </c>
      <c r="B1133" s="37"/>
      <c r="C1133" s="37" t="s">
        <v>842</v>
      </c>
      <c r="D1133" s="64">
        <v>20063</v>
      </c>
      <c r="E1133" s="38">
        <v>3</v>
      </c>
      <c r="F1133" s="39">
        <v>0.12031043</v>
      </c>
      <c r="G1133" s="38">
        <v>0.27195812000000003</v>
      </c>
      <c r="H1133" s="38">
        <v>0.31245827999999998</v>
      </c>
      <c r="I1133" s="38">
        <v>0.38469045000000002</v>
      </c>
      <c r="J1133" s="38">
        <v>2.8777153999999999E-2</v>
      </c>
      <c r="K1133" s="38">
        <v>1.1022624E-2</v>
      </c>
      <c r="L1133" s="40">
        <v>1.1292170580000001</v>
      </c>
    </row>
    <row r="1134" spans="1:12" hidden="1">
      <c r="A1134" s="37" t="s">
        <v>1946</v>
      </c>
      <c r="B1134" s="37"/>
      <c r="C1134" s="37" t="s">
        <v>842</v>
      </c>
      <c r="D1134" s="64">
        <v>20195</v>
      </c>
      <c r="E1134" s="38">
        <v>2.38</v>
      </c>
      <c r="F1134" s="39">
        <v>0.12895229</v>
      </c>
      <c r="G1134" s="38">
        <v>0</v>
      </c>
      <c r="H1134" s="38">
        <v>0</v>
      </c>
      <c r="I1134" s="38">
        <v>0.27356253000000003</v>
      </c>
      <c r="J1134" s="38">
        <v>2.2766824000000001E-2</v>
      </c>
      <c r="K1134" s="38">
        <v>8.0351048999999994E-2</v>
      </c>
      <c r="L1134" s="40">
        <v>0.50563269300000002</v>
      </c>
    </row>
    <row r="1135" spans="1:12" hidden="1">
      <c r="A1135" s="37" t="s">
        <v>1947</v>
      </c>
      <c r="B1135" s="37"/>
      <c r="C1135" s="37" t="s">
        <v>842</v>
      </c>
      <c r="D1135" s="64">
        <v>20203</v>
      </c>
      <c r="E1135" s="38">
        <v>2.9</v>
      </c>
      <c r="F1135" s="39">
        <v>0.11663735</v>
      </c>
      <c r="G1135" s="38">
        <v>0.12037794</v>
      </c>
      <c r="H1135" s="38">
        <v>0.26232822</v>
      </c>
      <c r="I1135" s="38">
        <v>0.21781585000000001</v>
      </c>
      <c r="J1135" s="38">
        <v>6.8654974999999993E-2</v>
      </c>
      <c r="K1135" s="38">
        <v>2.5251829999999999E-2</v>
      </c>
      <c r="L1135" s="40">
        <v>0.81106616499999995</v>
      </c>
    </row>
    <row r="1136" spans="1:12" hidden="1">
      <c r="A1136" s="37" t="s">
        <v>1948</v>
      </c>
      <c r="B1136" s="37"/>
      <c r="C1136" s="37" t="s">
        <v>1711</v>
      </c>
      <c r="D1136" s="64">
        <v>20511</v>
      </c>
      <c r="E1136" s="38">
        <v>3.28</v>
      </c>
      <c r="F1136" s="39">
        <v>9.6225097999999995E-2</v>
      </c>
      <c r="G1136" s="38">
        <v>0.18597732</v>
      </c>
      <c r="H1136" s="38">
        <v>0.25915577000000001</v>
      </c>
      <c r="I1136" s="38">
        <v>0.18924809000000001</v>
      </c>
      <c r="J1136" s="38">
        <v>2.3875550999999998E-2</v>
      </c>
      <c r="K1136" s="38">
        <v>1.1022624E-2</v>
      </c>
      <c r="L1136" s="40">
        <v>0.76550445300000003</v>
      </c>
    </row>
    <row r="1137" spans="1:12" hidden="1">
      <c r="A1137" s="37" t="s">
        <v>1949</v>
      </c>
      <c r="B1137" s="37"/>
      <c r="C1137" s="37" t="s">
        <v>1711</v>
      </c>
      <c r="D1137" s="64">
        <v>20502</v>
      </c>
      <c r="E1137" s="38">
        <v>3.29</v>
      </c>
      <c r="F1137" s="39">
        <v>4.0660359E-2</v>
      </c>
      <c r="G1137" s="38">
        <v>0</v>
      </c>
      <c r="H1137" s="38">
        <v>0.11375999000000001</v>
      </c>
      <c r="I1137" s="38">
        <v>5.7868563999999997E-2</v>
      </c>
      <c r="J1137" s="38">
        <v>2.7810721E-2</v>
      </c>
      <c r="K1137" s="38">
        <v>1.1022624E-2</v>
      </c>
      <c r="L1137" s="40">
        <v>0.25112225800000004</v>
      </c>
    </row>
    <row r="1138" spans="1:12" hidden="1">
      <c r="A1138" s="37" t="s">
        <v>1950</v>
      </c>
      <c r="B1138" s="37"/>
      <c r="C1138" s="37" t="s">
        <v>1711</v>
      </c>
      <c r="D1138" s="64">
        <v>20501</v>
      </c>
      <c r="E1138" s="38">
        <v>3.43</v>
      </c>
      <c r="F1138" s="39">
        <v>9.4740458999999999E-2</v>
      </c>
      <c r="G1138" s="38">
        <v>0</v>
      </c>
      <c r="H1138" s="38">
        <v>0.26506589000000003</v>
      </c>
      <c r="I1138" s="38">
        <v>0.13112868999999999</v>
      </c>
      <c r="J1138" s="38">
        <v>6.4800225000000003E-2</v>
      </c>
      <c r="K1138" s="38">
        <v>0</v>
      </c>
      <c r="L1138" s="40">
        <v>0.55573526400000006</v>
      </c>
    </row>
    <row r="1139" spans="1:12" hidden="1">
      <c r="A1139" s="37" t="s">
        <v>1951</v>
      </c>
      <c r="B1139" s="37"/>
      <c r="C1139" s="37" t="s">
        <v>842</v>
      </c>
      <c r="D1139" s="64">
        <v>20126</v>
      </c>
      <c r="E1139" s="38">
        <v>2.4300000000000002</v>
      </c>
      <c r="F1139" s="39">
        <v>0.53171736999999997</v>
      </c>
      <c r="G1139" s="38">
        <v>0</v>
      </c>
      <c r="H1139" s="38">
        <v>0</v>
      </c>
      <c r="I1139" s="38">
        <v>0.21885003</v>
      </c>
      <c r="J1139" s="38">
        <v>1.8213459000000001E-2</v>
      </c>
      <c r="K1139" s="38">
        <v>0</v>
      </c>
      <c r="L1139" s="40">
        <v>0.76878085900000004</v>
      </c>
    </row>
    <row r="1140" spans="1:12" hidden="1">
      <c r="A1140" s="41" t="s">
        <v>1952</v>
      </c>
      <c r="B1140" s="41"/>
      <c r="C1140" s="41" t="s">
        <v>784</v>
      </c>
      <c r="D1140" s="65">
        <v>20992</v>
      </c>
      <c r="E1140" s="42">
        <v>2.99</v>
      </c>
      <c r="F1140" s="43">
        <v>4.5528129000000002</v>
      </c>
      <c r="G1140" s="42">
        <v>1.4896054000000001</v>
      </c>
      <c r="H1140" s="42">
        <v>0.28987795999999999</v>
      </c>
      <c r="I1140" s="42">
        <v>0.19846865999999999</v>
      </c>
      <c r="J1140" s="42">
        <v>2.0039066000000001E-2</v>
      </c>
      <c r="K1140" s="42">
        <v>9.9403358999999997E-3</v>
      </c>
      <c r="L1140" s="44">
        <v>6.5607443218999997</v>
      </c>
    </row>
    <row r="1141" spans="1:12" hidden="1">
      <c r="A1141" s="37" t="s">
        <v>1953</v>
      </c>
      <c r="B1141" s="37"/>
      <c r="C1141" s="37" t="s">
        <v>1711</v>
      </c>
      <c r="D1141" s="64">
        <v>20508</v>
      </c>
      <c r="E1141" s="38">
        <v>3.08</v>
      </c>
      <c r="F1141" s="39">
        <v>0.48370628999999998</v>
      </c>
      <c r="G1141" s="38">
        <v>0.18597732</v>
      </c>
      <c r="H1141" s="38">
        <v>0.25915577000000001</v>
      </c>
      <c r="I1141" s="38">
        <v>0.18924809000000001</v>
      </c>
      <c r="J1141" s="38">
        <v>2.3875550999999998E-2</v>
      </c>
      <c r="K1141" s="38">
        <v>1.1022624E-2</v>
      </c>
      <c r="L1141" s="40">
        <v>1.152985645</v>
      </c>
    </row>
    <row r="1142" spans="1:12" hidden="1">
      <c r="A1142" s="37" t="s">
        <v>1954</v>
      </c>
      <c r="B1142" s="37"/>
      <c r="C1142" s="37" t="s">
        <v>1711</v>
      </c>
      <c r="D1142" s="64">
        <v>20513</v>
      </c>
      <c r="E1142" s="38">
        <v>3.08</v>
      </c>
      <c r="F1142" s="39">
        <v>0.20957187999999999</v>
      </c>
      <c r="G1142" s="38">
        <v>0</v>
      </c>
      <c r="H1142" s="38">
        <v>0.11375999000000001</v>
      </c>
      <c r="I1142" s="38">
        <v>5.6277327000000002E-2</v>
      </c>
      <c r="J1142" s="38">
        <v>2.7810721E-2</v>
      </c>
      <c r="K1142" s="38">
        <v>1.1022624E-2</v>
      </c>
      <c r="L1142" s="40">
        <v>0.41844254199999992</v>
      </c>
    </row>
    <row r="1143" spans="1:12" hidden="1">
      <c r="A1143" s="37" t="s">
        <v>1955</v>
      </c>
      <c r="B1143" s="37"/>
      <c r="C1143" s="37" t="s">
        <v>1711</v>
      </c>
      <c r="D1143" s="64">
        <v>20537</v>
      </c>
      <c r="E1143" s="38">
        <v>3.23</v>
      </c>
      <c r="F1143" s="39">
        <v>0.20957187999999999</v>
      </c>
      <c r="G1143" s="38">
        <v>3.1676113999999998E-2</v>
      </c>
      <c r="H1143" s="38">
        <v>0.11375999000000001</v>
      </c>
      <c r="I1143" s="38">
        <v>9.1642330999999994E-2</v>
      </c>
      <c r="J1143" s="38">
        <v>3.5277625999999999E-2</v>
      </c>
      <c r="K1143" s="38">
        <v>2.1860111000000002E-2</v>
      </c>
      <c r="L1143" s="40">
        <v>0.50378805199999999</v>
      </c>
    </row>
    <row r="1144" spans="1:12" hidden="1">
      <c r="A1144" s="37" t="s">
        <v>1956</v>
      </c>
      <c r="B1144" s="37"/>
      <c r="C1144" s="37" t="s">
        <v>1711</v>
      </c>
      <c r="D1144" s="64">
        <v>20540</v>
      </c>
      <c r="E1144" s="38">
        <v>3.23</v>
      </c>
      <c r="F1144" s="39">
        <v>0.20957187999999999</v>
      </c>
      <c r="G1144" s="38">
        <v>0</v>
      </c>
      <c r="H1144" s="38">
        <v>0.11375999000000001</v>
      </c>
      <c r="I1144" s="38">
        <v>5.6277327000000002E-2</v>
      </c>
      <c r="J1144" s="38">
        <v>2.7810721E-2</v>
      </c>
      <c r="K1144" s="38">
        <v>1.1022624E-2</v>
      </c>
      <c r="L1144" s="40">
        <v>0.41844254199999992</v>
      </c>
    </row>
    <row r="1145" spans="1:12" hidden="1">
      <c r="A1145" s="37" t="s">
        <v>1957</v>
      </c>
      <c r="B1145" s="37"/>
      <c r="C1145" s="37" t="s">
        <v>1711</v>
      </c>
      <c r="D1145" s="64">
        <v>20539</v>
      </c>
      <c r="E1145" s="38">
        <v>3.23</v>
      </c>
      <c r="F1145" s="39">
        <v>0.48831186999999998</v>
      </c>
      <c r="G1145" s="38">
        <v>0</v>
      </c>
      <c r="H1145" s="38">
        <v>0.26506589000000003</v>
      </c>
      <c r="I1145" s="38">
        <v>0.13112868999999999</v>
      </c>
      <c r="J1145" s="38">
        <v>6.4800225000000003E-2</v>
      </c>
      <c r="K1145" s="38">
        <v>0</v>
      </c>
      <c r="L1145" s="40">
        <v>0.94930667499999999</v>
      </c>
    </row>
    <row r="1146" spans="1:12" hidden="1">
      <c r="A1146" s="37" t="s">
        <v>1958</v>
      </c>
      <c r="B1146" s="37"/>
      <c r="C1146" s="37" t="s">
        <v>842</v>
      </c>
      <c r="D1146" s="64">
        <v>20029</v>
      </c>
      <c r="E1146" s="38">
        <v>2.78</v>
      </c>
      <c r="F1146" s="39">
        <v>0.60588818</v>
      </c>
      <c r="G1146" s="38">
        <v>0.28062765000000001</v>
      </c>
      <c r="H1146" s="38">
        <v>0.32449301000000003</v>
      </c>
      <c r="I1146" s="38">
        <v>0.39819715999999999</v>
      </c>
      <c r="J1146" s="38">
        <v>2.9883968E-2</v>
      </c>
      <c r="K1146" s="38">
        <v>0</v>
      </c>
      <c r="L1146" s="40">
        <v>1.6390899680000002</v>
      </c>
    </row>
    <row r="1147" spans="1:12" hidden="1">
      <c r="A1147" s="37" t="s">
        <v>1959</v>
      </c>
      <c r="B1147" s="37"/>
      <c r="C1147" s="37" t="s">
        <v>842</v>
      </c>
      <c r="D1147" s="64">
        <v>20183</v>
      </c>
      <c r="E1147" s="38">
        <v>2.7</v>
      </c>
      <c r="F1147" s="39">
        <v>0.53171736999999997</v>
      </c>
      <c r="G1147" s="38">
        <v>0</v>
      </c>
      <c r="H1147" s="38">
        <v>0</v>
      </c>
      <c r="I1147" s="38">
        <v>0.21885003</v>
      </c>
      <c r="J1147" s="38">
        <v>1.8213459000000001E-2</v>
      </c>
      <c r="K1147" s="38">
        <v>0</v>
      </c>
      <c r="L1147" s="40">
        <v>0.76878085900000004</v>
      </c>
    </row>
    <row r="1148" spans="1:12" hidden="1">
      <c r="A1148" s="37" t="s">
        <v>1960</v>
      </c>
      <c r="B1148" s="37"/>
      <c r="C1148" s="37" t="s">
        <v>1711</v>
      </c>
      <c r="D1148" s="64">
        <v>20531</v>
      </c>
      <c r="E1148" s="38">
        <v>3.08</v>
      </c>
      <c r="F1148" s="39">
        <v>0.20957187999999999</v>
      </c>
      <c r="G1148" s="38">
        <v>0</v>
      </c>
      <c r="H1148" s="38">
        <v>0.11375999000000001</v>
      </c>
      <c r="I1148" s="38">
        <v>5.6277327000000002E-2</v>
      </c>
      <c r="J1148" s="38">
        <v>2.7810721E-2</v>
      </c>
      <c r="K1148" s="38">
        <v>1.1022624E-2</v>
      </c>
      <c r="L1148" s="40">
        <v>0.41844254199999992</v>
      </c>
    </row>
    <row r="1149" spans="1:12" hidden="1">
      <c r="A1149" s="37" t="s">
        <v>1961</v>
      </c>
      <c r="B1149" s="37"/>
      <c r="C1149" s="37" t="s">
        <v>1711</v>
      </c>
      <c r="D1149" s="64">
        <v>20530</v>
      </c>
      <c r="E1149" s="38">
        <v>3.35</v>
      </c>
      <c r="F1149" s="39">
        <v>9.4740458999999999E-2</v>
      </c>
      <c r="G1149" s="38">
        <v>0</v>
      </c>
      <c r="H1149" s="38">
        <v>0.26506589000000003</v>
      </c>
      <c r="I1149" s="38">
        <v>0.24710299999999999</v>
      </c>
      <c r="J1149" s="38">
        <v>6.4800225000000003E-2</v>
      </c>
      <c r="K1149" s="38">
        <v>0</v>
      </c>
      <c r="L1149" s="40">
        <v>0.67170957400000009</v>
      </c>
    </row>
    <row r="1150" spans="1:12" hidden="1">
      <c r="A1150" s="37" t="s">
        <v>1962</v>
      </c>
      <c r="B1150" s="37"/>
      <c r="C1150" s="37" t="s">
        <v>842</v>
      </c>
      <c r="D1150" s="64">
        <v>20269</v>
      </c>
      <c r="E1150" s="38">
        <v>2.3199999999999998</v>
      </c>
      <c r="F1150" s="39">
        <v>0.12895229</v>
      </c>
      <c r="G1150" s="38">
        <v>0</v>
      </c>
      <c r="H1150" s="38">
        <v>0</v>
      </c>
      <c r="I1150" s="38">
        <v>0.27356253000000003</v>
      </c>
      <c r="J1150" s="38">
        <v>2.2766824000000001E-2</v>
      </c>
      <c r="K1150" s="38">
        <v>8.0351048999999994E-2</v>
      </c>
      <c r="L1150" s="40">
        <v>0.50563269300000002</v>
      </c>
    </row>
    <row r="1151" spans="1:12" hidden="1">
      <c r="A1151" s="41" t="s">
        <v>1963</v>
      </c>
      <c r="B1151" s="41"/>
      <c r="C1151" s="41" t="s">
        <v>1711</v>
      </c>
      <c r="D1151" s="65">
        <v>20524</v>
      </c>
      <c r="E1151" s="42">
        <v>3.08</v>
      </c>
      <c r="F1151" s="43">
        <v>0.48406491000000001</v>
      </c>
      <c r="G1151" s="42">
        <v>0.1970816</v>
      </c>
      <c r="H1151" s="42">
        <v>0.27463125999999999</v>
      </c>
      <c r="I1151" s="42">
        <v>0.19891375</v>
      </c>
      <c r="J1151" s="42">
        <v>2.5298596999999999E-2</v>
      </c>
      <c r="K1151" s="42">
        <v>1.1022624E-2</v>
      </c>
      <c r="L1151" s="44">
        <v>1.191012741</v>
      </c>
    </row>
    <row r="1152" spans="1:12" hidden="1">
      <c r="A1152" s="41" t="s">
        <v>1964</v>
      </c>
      <c r="B1152" s="41"/>
      <c r="C1152" s="41" t="s">
        <v>1711</v>
      </c>
      <c r="D1152" s="65">
        <v>20503</v>
      </c>
      <c r="E1152" s="42">
        <v>3.08</v>
      </c>
      <c r="F1152" s="43">
        <v>0.20957187999999999</v>
      </c>
      <c r="G1152" s="42">
        <v>0</v>
      </c>
      <c r="H1152" s="42">
        <v>0.11375999000000001</v>
      </c>
      <c r="I1152" s="42">
        <v>5.6277327000000002E-2</v>
      </c>
      <c r="J1152" s="42">
        <v>2.7810721E-2</v>
      </c>
      <c r="K1152" s="42">
        <v>1.1022624E-2</v>
      </c>
      <c r="L1152" s="44">
        <v>0.41844254199999992</v>
      </c>
    </row>
    <row r="1153" spans="1:12" hidden="1">
      <c r="A1153" s="41" t="s">
        <v>1965</v>
      </c>
      <c r="B1153" s="41"/>
      <c r="C1153" s="41" t="s">
        <v>1711</v>
      </c>
      <c r="D1153" s="65">
        <v>20525</v>
      </c>
      <c r="E1153" s="42">
        <v>3.23</v>
      </c>
      <c r="F1153" s="43">
        <v>0.48831186999999993</v>
      </c>
      <c r="G1153" s="42">
        <v>0</v>
      </c>
      <c r="H1153" s="42">
        <v>0.26506589000000003</v>
      </c>
      <c r="I1153" s="42">
        <v>0.13112868999999999</v>
      </c>
      <c r="J1153" s="42">
        <v>6.4800225000000003E-2</v>
      </c>
      <c r="K1153" s="42">
        <v>0</v>
      </c>
      <c r="L1153" s="44">
        <v>0.94930667499999999</v>
      </c>
    </row>
    <row r="1154" spans="1:12" hidden="1">
      <c r="A1154" s="37" t="s">
        <v>1966</v>
      </c>
      <c r="B1154" s="37"/>
      <c r="C1154" s="37" t="s">
        <v>842</v>
      </c>
      <c r="D1154" s="64">
        <v>20061</v>
      </c>
      <c r="E1154" s="38">
        <v>2.52</v>
      </c>
      <c r="F1154" s="39">
        <v>0.11347802</v>
      </c>
      <c r="G1154" s="38">
        <v>0</v>
      </c>
      <c r="H1154" s="38">
        <v>0</v>
      </c>
      <c r="I1154" s="38">
        <v>6.2960469999999997</v>
      </c>
      <c r="J1154" s="38">
        <v>2.0034804999999999E-2</v>
      </c>
      <c r="K1154" s="38">
        <v>3.8814117000000002E-2</v>
      </c>
      <c r="L1154" s="40">
        <v>6.4683739419999995</v>
      </c>
    </row>
    <row r="1155" spans="1:12" hidden="1">
      <c r="A1155" s="37" t="s">
        <v>1967</v>
      </c>
      <c r="B1155" s="37"/>
      <c r="C1155" s="37" t="s">
        <v>842</v>
      </c>
      <c r="D1155" s="64">
        <v>20062</v>
      </c>
      <c r="E1155" s="38">
        <v>1.7</v>
      </c>
      <c r="F1155" s="39">
        <v>0.12099958</v>
      </c>
      <c r="G1155" s="38">
        <v>0.28345838000000001</v>
      </c>
      <c r="H1155" s="38">
        <v>0.27354837999999998</v>
      </c>
      <c r="I1155" s="38">
        <v>0.35553256999999999</v>
      </c>
      <c r="J1155" s="38">
        <v>2.9963177000000001E-2</v>
      </c>
      <c r="K1155" s="38">
        <v>1.1022624E-2</v>
      </c>
      <c r="L1155" s="40">
        <v>1.074524711</v>
      </c>
    </row>
    <row r="1156" spans="1:12" hidden="1">
      <c r="A1156" s="37" t="s">
        <v>1968</v>
      </c>
      <c r="B1156" s="37"/>
      <c r="C1156" s="37" t="s">
        <v>842</v>
      </c>
      <c r="D1156" s="64">
        <v>20061</v>
      </c>
      <c r="E1156" s="38">
        <v>2.52</v>
      </c>
      <c r="F1156" s="39">
        <v>0.11347802</v>
      </c>
      <c r="G1156" s="38">
        <v>0</v>
      </c>
      <c r="H1156" s="38">
        <v>0</v>
      </c>
      <c r="I1156" s="38">
        <v>0.24073502999999999</v>
      </c>
      <c r="J1156" s="38">
        <v>2.0034804999999999E-2</v>
      </c>
      <c r="K1156" s="38">
        <v>3.8814117000000002E-2</v>
      </c>
      <c r="L1156" s="40">
        <v>0.41306197199999994</v>
      </c>
    </row>
    <row r="1157" spans="1:12" hidden="1">
      <c r="A1157" s="37" t="s">
        <v>1969</v>
      </c>
      <c r="B1157" s="37"/>
      <c r="C1157" s="37" t="s">
        <v>842</v>
      </c>
      <c r="D1157" s="64">
        <v>20030</v>
      </c>
      <c r="E1157" s="38">
        <v>2.72</v>
      </c>
      <c r="F1157" s="39">
        <v>0.13390405999999999</v>
      </c>
      <c r="G1157" s="38">
        <v>0</v>
      </c>
      <c r="H1157" s="38">
        <v>0.26041069999999999</v>
      </c>
      <c r="I1157" s="38">
        <v>0.29653096000000001</v>
      </c>
      <c r="J1157" s="38">
        <v>2.364107E-2</v>
      </c>
      <c r="K1157" s="38">
        <v>0.13820644000000001</v>
      </c>
      <c r="L1157" s="40">
        <v>0.85269323000000008</v>
      </c>
    </row>
    <row r="1158" spans="1:12" hidden="1">
      <c r="A1158" s="37" t="s">
        <v>1970</v>
      </c>
      <c r="B1158" s="37"/>
      <c r="C1158" s="37" t="s">
        <v>842</v>
      </c>
      <c r="D1158" s="64">
        <v>20070</v>
      </c>
      <c r="E1158" s="38">
        <v>2.59</v>
      </c>
      <c r="F1158" s="39">
        <v>0.11663735</v>
      </c>
      <c r="G1158" s="38">
        <v>0.12037794</v>
      </c>
      <c r="H1158" s="38">
        <v>5.1794996000000003E-2</v>
      </c>
      <c r="I1158" s="38">
        <v>0.18299686000000001</v>
      </c>
      <c r="J1158" s="38">
        <v>0.17129047999999999</v>
      </c>
      <c r="K1158" s="38">
        <v>2.5251829999999999E-2</v>
      </c>
      <c r="L1158" s="40">
        <v>0.66834945599999995</v>
      </c>
    </row>
    <row r="1159" spans="1:12" hidden="1">
      <c r="A1159" s="37" t="s">
        <v>1971</v>
      </c>
      <c r="B1159" s="37"/>
      <c r="C1159" s="37" t="s">
        <v>842</v>
      </c>
      <c r="D1159" s="64">
        <v>20071</v>
      </c>
      <c r="E1159" s="38">
        <v>1.8</v>
      </c>
      <c r="F1159" s="39">
        <v>0.13624734999999999</v>
      </c>
      <c r="G1159" s="38">
        <v>0.14061684999999999</v>
      </c>
      <c r="H1159" s="38">
        <v>5.7677096999999997E-2</v>
      </c>
      <c r="I1159" s="38">
        <v>0.21375876999999999</v>
      </c>
      <c r="J1159" s="38">
        <v>0.20008920999999999</v>
      </c>
      <c r="K1159" s="38">
        <v>0.11956667999999999</v>
      </c>
      <c r="L1159" s="40">
        <v>0.86795595700000006</v>
      </c>
    </row>
    <row r="1160" spans="1:12" hidden="1">
      <c r="A1160" s="37" t="s">
        <v>1972</v>
      </c>
      <c r="B1160" s="37"/>
      <c r="C1160" s="37" t="s">
        <v>811</v>
      </c>
      <c r="D1160" s="64">
        <v>20194</v>
      </c>
      <c r="E1160" s="38">
        <v>3.63</v>
      </c>
      <c r="F1160" s="39">
        <v>0</v>
      </c>
      <c r="G1160" s="38">
        <v>0</v>
      </c>
      <c r="H1160" s="38">
        <v>0.45148788000000001</v>
      </c>
      <c r="I1160" s="38">
        <v>0.10727921999999999</v>
      </c>
      <c r="J1160" s="38">
        <v>1.5811623E-2</v>
      </c>
      <c r="K1160" s="38">
        <v>1.1022624E-2</v>
      </c>
      <c r="L1160" s="40">
        <v>0.58560134699999999</v>
      </c>
    </row>
    <row r="1161" spans="1:12" hidden="1">
      <c r="A1161" s="37" t="s">
        <v>1973</v>
      </c>
      <c r="B1161" s="37"/>
      <c r="C1161" s="37" t="s">
        <v>842</v>
      </c>
      <c r="D1161" s="64">
        <v>20257</v>
      </c>
      <c r="E1161" s="38">
        <v>2.72</v>
      </c>
      <c r="F1161" s="39">
        <v>0.13390405999999999</v>
      </c>
      <c r="G1161" s="38">
        <v>0</v>
      </c>
      <c r="H1161" s="38">
        <v>0.26041069999999999</v>
      </c>
      <c r="I1161" s="38">
        <v>0.29653096000000001</v>
      </c>
      <c r="J1161" s="38">
        <v>2.364107E-2</v>
      </c>
      <c r="K1161" s="38">
        <v>4.3163043999999998E-2</v>
      </c>
      <c r="L1161" s="40">
        <v>0.75764983400000008</v>
      </c>
    </row>
    <row r="1162" spans="1:12" hidden="1">
      <c r="A1162" s="37" t="s">
        <v>1974</v>
      </c>
      <c r="B1162" s="37"/>
      <c r="C1162" s="37" t="s">
        <v>1454</v>
      </c>
      <c r="D1162" s="64">
        <v>11112</v>
      </c>
      <c r="E1162" s="38">
        <v>2.98</v>
      </c>
      <c r="F1162" s="39">
        <v>0.68070262000000004</v>
      </c>
      <c r="G1162" s="38">
        <v>0.21044394999999999</v>
      </c>
      <c r="H1162" s="38">
        <v>0.17709348</v>
      </c>
      <c r="I1162" s="38">
        <v>0.30309449999999999</v>
      </c>
      <c r="J1162" s="38">
        <v>3.9976882999999998E-2</v>
      </c>
      <c r="K1162" s="38">
        <v>6.6736979E-3</v>
      </c>
      <c r="L1162" s="40">
        <v>1.4179851309</v>
      </c>
    </row>
    <row r="1163" spans="1:12" hidden="1">
      <c r="A1163" s="41" t="s">
        <v>1975</v>
      </c>
      <c r="B1163" s="41"/>
      <c r="C1163" s="41" t="s">
        <v>807</v>
      </c>
      <c r="D1163" s="65">
        <v>11060</v>
      </c>
      <c r="E1163" s="42">
        <v>3.13</v>
      </c>
      <c r="F1163" s="43">
        <v>0.88917018999999997</v>
      </c>
      <c r="G1163" s="42">
        <v>0</v>
      </c>
      <c r="H1163" s="42">
        <v>0.47782284000000003</v>
      </c>
      <c r="I1163" s="42">
        <v>0.17560645</v>
      </c>
      <c r="J1163" s="42">
        <v>1.5675970000000001E-2</v>
      </c>
      <c r="K1163" s="42">
        <v>0</v>
      </c>
      <c r="L1163" s="44">
        <v>1.55827545</v>
      </c>
    </row>
    <row r="1164" spans="1:12" hidden="1">
      <c r="A1164" s="37" t="s">
        <v>1976</v>
      </c>
      <c r="B1164" s="37"/>
      <c r="C1164" s="37" t="s">
        <v>826</v>
      </c>
      <c r="D1164" s="64">
        <v>26213</v>
      </c>
      <c r="E1164" s="38">
        <v>3.68</v>
      </c>
      <c r="F1164" s="39">
        <v>9.3213296000000003</v>
      </c>
      <c r="G1164" s="38">
        <v>0</v>
      </c>
      <c r="H1164" s="38">
        <v>0.27530876999999998</v>
      </c>
      <c r="I1164" s="38">
        <v>1.1705296999999999</v>
      </c>
      <c r="J1164" s="38">
        <v>3.7353873000000003E-2</v>
      </c>
      <c r="K1164" s="38">
        <v>6.6736979E-3</v>
      </c>
      <c r="L1164" s="40">
        <v>10.811195640900001</v>
      </c>
    </row>
    <row r="1165" spans="1:12" hidden="1">
      <c r="A1165" s="37" t="s">
        <v>1977</v>
      </c>
      <c r="B1165" s="37"/>
      <c r="C1165" s="37" t="s">
        <v>1181</v>
      </c>
      <c r="D1165" s="64">
        <v>10009</v>
      </c>
      <c r="E1165" s="38">
        <v>2.1298643291658506</v>
      </c>
      <c r="F1165" s="39">
        <v>24.185115</v>
      </c>
      <c r="G1165" s="38">
        <v>0.18952098000000001</v>
      </c>
      <c r="H1165" s="38">
        <v>0</v>
      </c>
      <c r="I1165" s="38">
        <v>12.390698</v>
      </c>
      <c r="J1165" s="38">
        <v>0.13240267999999999</v>
      </c>
      <c r="K1165" s="38">
        <v>1.4345209000000001</v>
      </c>
      <c r="L1165" s="40">
        <v>38.332257560000002</v>
      </c>
    </row>
    <row r="1166" spans="1:12" hidden="1">
      <c r="A1166" s="37" t="s">
        <v>1978</v>
      </c>
      <c r="B1166" s="37"/>
      <c r="C1166" s="37" t="s">
        <v>674</v>
      </c>
      <c r="D1166" s="64">
        <v>25403</v>
      </c>
      <c r="E1166" s="38">
        <v>2.23</v>
      </c>
      <c r="F1166" s="39">
        <v>6.0167305999999998</v>
      </c>
      <c r="G1166" s="38">
        <v>0.37506233999999999</v>
      </c>
      <c r="H1166" s="38">
        <v>0.311552</v>
      </c>
      <c r="I1166" s="38">
        <v>0.20884114000000001</v>
      </c>
      <c r="J1166" s="38">
        <v>3.7768032999999999E-2</v>
      </c>
      <c r="K1166" s="38">
        <v>9.2564276000000001E-2</v>
      </c>
      <c r="L1166" s="40">
        <v>7.0425183889999996</v>
      </c>
    </row>
    <row r="1167" spans="1:12" hidden="1">
      <c r="A1167" s="37" t="s">
        <v>1979</v>
      </c>
      <c r="B1167" s="37"/>
      <c r="C1167" s="37" t="s">
        <v>1454</v>
      </c>
      <c r="D1167" s="64">
        <v>25621</v>
      </c>
      <c r="E1167" s="38">
        <v>2.95</v>
      </c>
      <c r="F1167" s="39">
        <v>0.30708875000000002</v>
      </c>
      <c r="G1167" s="38">
        <v>0.15708154999999999</v>
      </c>
      <c r="H1167" s="38">
        <v>0.17071537000000001</v>
      </c>
      <c r="I1167" s="38">
        <v>0.27215985999999998</v>
      </c>
      <c r="J1167" s="38">
        <v>3.7768032999999999E-2</v>
      </c>
      <c r="K1167" s="38">
        <v>6.6736979E-3</v>
      </c>
      <c r="L1167" s="40">
        <v>0.95148726090000002</v>
      </c>
    </row>
    <row r="1168" spans="1:12" hidden="1">
      <c r="A1168" s="37" t="s">
        <v>1980</v>
      </c>
      <c r="B1168" s="37"/>
      <c r="C1168" s="37" t="s">
        <v>921</v>
      </c>
      <c r="D1168" s="64">
        <v>17700</v>
      </c>
      <c r="E1168" s="38">
        <v>3.27</v>
      </c>
      <c r="F1168" s="39">
        <v>0.69447643000000003</v>
      </c>
      <c r="G1168" s="38">
        <v>1.2615551</v>
      </c>
      <c r="H1168" s="38">
        <v>0.17741768999999999</v>
      </c>
      <c r="I1168" s="38">
        <v>0.29322092999999999</v>
      </c>
      <c r="J1168" s="38">
        <v>1.5675629999999999E-2</v>
      </c>
      <c r="K1168" s="38">
        <v>0</v>
      </c>
      <c r="L1168" s="40">
        <v>2.4423457800000001</v>
      </c>
    </row>
    <row r="1169" spans="1:12" hidden="1">
      <c r="A1169" s="37" t="s">
        <v>1981</v>
      </c>
      <c r="B1169" s="37"/>
      <c r="C1169" s="37" t="s">
        <v>921</v>
      </c>
      <c r="D1169" s="64">
        <v>17701</v>
      </c>
      <c r="E1169" s="38">
        <v>3.7</v>
      </c>
      <c r="F1169" s="39">
        <v>0.36123184000000003</v>
      </c>
      <c r="G1169" s="38">
        <v>1.2656456</v>
      </c>
      <c r="H1169" s="38">
        <v>0.17741768999999999</v>
      </c>
      <c r="I1169" s="38">
        <v>0.29814840999999997</v>
      </c>
      <c r="J1169" s="38">
        <v>1.5675629999999999E-2</v>
      </c>
      <c r="K1169" s="38">
        <v>0</v>
      </c>
      <c r="L1169" s="40">
        <v>2.1181191699999999</v>
      </c>
    </row>
    <row r="1170" spans="1:12" hidden="1">
      <c r="A1170" s="37" t="s">
        <v>1982</v>
      </c>
      <c r="B1170" s="37"/>
      <c r="C1170" s="37" t="s">
        <v>921</v>
      </c>
      <c r="D1170" s="64">
        <v>17040</v>
      </c>
      <c r="E1170" s="38">
        <v>1.61</v>
      </c>
      <c r="F1170" s="39">
        <v>3.0447327999999998</v>
      </c>
      <c r="G1170" s="38">
        <v>0.78484662000000005</v>
      </c>
      <c r="H1170" s="38">
        <v>0.17741768999999999</v>
      </c>
      <c r="I1170" s="38">
        <v>0.21823787</v>
      </c>
      <c r="J1170" s="38">
        <v>1.7010291E-2</v>
      </c>
      <c r="K1170" s="38">
        <v>0</v>
      </c>
      <c r="L1170" s="40">
        <v>4.2422452710000007</v>
      </c>
    </row>
    <row r="1171" spans="1:12" hidden="1">
      <c r="A1171" s="37" t="s">
        <v>1983</v>
      </c>
      <c r="B1171" s="37"/>
      <c r="C1171" s="37" t="s">
        <v>921</v>
      </c>
      <c r="D1171" s="64" t="s">
        <v>1984</v>
      </c>
      <c r="E1171" s="38">
        <v>2.9674999999999998</v>
      </c>
      <c r="F1171" s="39">
        <v>3.8879983999999999</v>
      </c>
      <c r="G1171" s="38">
        <v>4.0135095000000003E-2</v>
      </c>
      <c r="H1171" s="38">
        <v>0.66510603000000001</v>
      </c>
      <c r="I1171" s="38">
        <v>0.26390296000000002</v>
      </c>
      <c r="J1171" s="38">
        <v>1.7027957999999999E-2</v>
      </c>
      <c r="K1171" s="38">
        <v>0</v>
      </c>
      <c r="L1171" s="40">
        <v>4.8741704429999997</v>
      </c>
    </row>
    <row r="1172" spans="1:12" hidden="1">
      <c r="A1172" s="37" t="s">
        <v>1985</v>
      </c>
      <c r="B1172" s="37"/>
      <c r="C1172" s="37" t="s">
        <v>912</v>
      </c>
      <c r="D1172" s="64">
        <v>16401</v>
      </c>
      <c r="E1172" s="38">
        <v>3.65</v>
      </c>
      <c r="F1172" s="39">
        <v>7.2846168000000002</v>
      </c>
      <c r="G1172" s="38">
        <v>4.9715693999999998E-2</v>
      </c>
      <c r="H1172" s="38">
        <v>0.18031662000000001</v>
      </c>
      <c r="I1172" s="38">
        <v>0.23175742999999999</v>
      </c>
      <c r="J1172" s="38">
        <v>3.9083371999999998E-2</v>
      </c>
      <c r="K1172" s="38">
        <v>6.6736979E-3</v>
      </c>
      <c r="L1172" s="40">
        <v>7.7921636139000006</v>
      </c>
    </row>
    <row r="1173" spans="1:12" hidden="1">
      <c r="A1173" s="41" t="s">
        <v>1986</v>
      </c>
      <c r="B1173" s="41"/>
      <c r="C1173" s="41" t="s">
        <v>921</v>
      </c>
      <c r="D1173" s="65">
        <v>17130</v>
      </c>
      <c r="E1173" s="42">
        <v>1.39</v>
      </c>
      <c r="F1173" s="43">
        <v>0</v>
      </c>
      <c r="G1173" s="42">
        <v>1.7515319</v>
      </c>
      <c r="H1173" s="42">
        <v>0.17741768999999999</v>
      </c>
      <c r="I1173" s="42">
        <v>0.32944488</v>
      </c>
      <c r="J1173" s="42">
        <v>1.7010291E-2</v>
      </c>
      <c r="K1173" s="42">
        <v>0</v>
      </c>
      <c r="L1173" s="44">
        <v>2.2754047609999999</v>
      </c>
    </row>
    <row r="1174" spans="1:12" hidden="1">
      <c r="A1174" s="37" t="s">
        <v>1987</v>
      </c>
      <c r="B1174" s="37"/>
      <c r="C1174" s="37" t="s">
        <v>921</v>
      </c>
      <c r="D1174" s="64">
        <v>17170</v>
      </c>
      <c r="E1174" s="38">
        <v>4.08</v>
      </c>
      <c r="F1174" s="39">
        <v>1.9438731</v>
      </c>
      <c r="G1174" s="38">
        <v>0.14884588000000001</v>
      </c>
      <c r="H1174" s="38">
        <v>0.17741768999999999</v>
      </c>
      <c r="I1174" s="38">
        <v>0.19273946</v>
      </c>
      <c r="J1174" s="38">
        <v>1.7010291E-2</v>
      </c>
      <c r="K1174" s="38">
        <v>0</v>
      </c>
      <c r="L1174" s="40">
        <v>2.4798864209999998</v>
      </c>
    </row>
    <row r="1175" spans="1:12" hidden="1">
      <c r="A1175" s="37" t="s">
        <v>1988</v>
      </c>
      <c r="B1175" s="37"/>
      <c r="C1175" s="37" t="s">
        <v>1989</v>
      </c>
      <c r="D1175" s="64">
        <v>17630</v>
      </c>
      <c r="E1175" s="38">
        <v>4.0199999999999996</v>
      </c>
      <c r="F1175" s="39">
        <v>0</v>
      </c>
      <c r="G1175" s="38">
        <v>1.2985348999999999</v>
      </c>
      <c r="H1175" s="38">
        <v>0.17233329</v>
      </c>
      <c r="I1175" s="38">
        <v>0.10768698</v>
      </c>
      <c r="J1175" s="38">
        <v>1.7010291E-2</v>
      </c>
      <c r="K1175" s="38">
        <v>0</v>
      </c>
      <c r="L1175" s="40">
        <v>1.5955654610000001</v>
      </c>
    </row>
    <row r="1176" spans="1:12" hidden="1">
      <c r="A1176" s="37" t="s">
        <v>1990</v>
      </c>
      <c r="B1176" s="37"/>
      <c r="C1176" s="37" t="s">
        <v>1989</v>
      </c>
      <c r="D1176" s="64">
        <v>17650</v>
      </c>
      <c r="E1176" s="38">
        <v>4.0199999999999996</v>
      </c>
      <c r="F1176" s="39">
        <v>0</v>
      </c>
      <c r="G1176" s="38">
        <v>1.2985348999999999</v>
      </c>
      <c r="H1176" s="38">
        <v>0.17233329</v>
      </c>
      <c r="I1176" s="38">
        <v>0.10768698</v>
      </c>
      <c r="J1176" s="38">
        <v>1.7010291E-2</v>
      </c>
      <c r="K1176" s="38">
        <v>0</v>
      </c>
      <c r="L1176" s="40">
        <v>1.5955654610000001</v>
      </c>
    </row>
    <row r="1177" spans="1:12" hidden="1">
      <c r="A1177" s="37" t="s">
        <v>1991</v>
      </c>
      <c r="B1177" s="37"/>
      <c r="C1177" s="37" t="s">
        <v>921</v>
      </c>
      <c r="D1177" s="64">
        <v>17180</v>
      </c>
      <c r="E1177" s="38">
        <v>1.61</v>
      </c>
      <c r="F1177" s="39">
        <v>0.26611971000000001</v>
      </c>
      <c r="G1177" s="38">
        <v>2.7524353000000001</v>
      </c>
      <c r="H1177" s="38">
        <v>0.17741768999999999</v>
      </c>
      <c r="I1177" s="38">
        <v>0.33610659999999998</v>
      </c>
      <c r="J1177" s="38">
        <v>1.7010291E-2</v>
      </c>
      <c r="K1177" s="38">
        <v>0</v>
      </c>
      <c r="L1177" s="40">
        <v>3.549089591</v>
      </c>
    </row>
    <row r="1178" spans="1:12" hidden="1">
      <c r="A1178" s="37" t="s">
        <v>1992</v>
      </c>
      <c r="B1178" s="37"/>
      <c r="C1178" s="37" t="s">
        <v>921</v>
      </c>
      <c r="D1178" s="64">
        <v>17190</v>
      </c>
      <c r="E1178" s="38">
        <v>2.8</v>
      </c>
      <c r="F1178" s="39">
        <v>2.8702928999999999</v>
      </c>
      <c r="G1178" s="38">
        <v>0.29540504000000001</v>
      </c>
      <c r="H1178" s="38">
        <v>0.17741768999999999</v>
      </c>
      <c r="I1178" s="38">
        <v>0.17590025000000001</v>
      </c>
      <c r="J1178" s="38">
        <v>1.7010291E-2</v>
      </c>
      <c r="K1178" s="38">
        <v>0</v>
      </c>
      <c r="L1178" s="40">
        <v>3.5360261710000001</v>
      </c>
    </row>
    <row r="1179" spans="1:12" hidden="1">
      <c r="A1179" s="37" t="s">
        <v>1993</v>
      </c>
      <c r="B1179" s="37"/>
      <c r="C1179" s="37" t="s">
        <v>921</v>
      </c>
      <c r="D1179" s="64">
        <v>17210</v>
      </c>
      <c r="E1179" s="38">
        <v>1.67</v>
      </c>
      <c r="F1179" s="39">
        <v>7.3823398999999998</v>
      </c>
      <c r="G1179" s="38">
        <v>0.35851630000000001</v>
      </c>
      <c r="H1179" s="38">
        <v>0.17741768999999999</v>
      </c>
      <c r="I1179" s="38">
        <v>0.24656274</v>
      </c>
      <c r="J1179" s="38">
        <v>1.7010291E-2</v>
      </c>
      <c r="K1179" s="38">
        <v>0</v>
      </c>
      <c r="L1179" s="40">
        <v>8.181846921</v>
      </c>
    </row>
    <row r="1180" spans="1:12" hidden="1">
      <c r="A1180" s="37" t="s">
        <v>1994</v>
      </c>
      <c r="B1180" s="37"/>
      <c r="C1180" s="37" t="s">
        <v>921</v>
      </c>
      <c r="D1180" s="64">
        <v>16150</v>
      </c>
      <c r="E1180" s="38">
        <v>2.4900000000000002</v>
      </c>
      <c r="F1180" s="39">
        <v>5.1534345000000004</v>
      </c>
      <c r="G1180" s="38">
        <v>6.7811077999999997E-2</v>
      </c>
      <c r="H1180" s="38">
        <v>0.17741768999999999</v>
      </c>
      <c r="I1180" s="38">
        <v>0.62062510999999998</v>
      </c>
      <c r="J1180" s="38">
        <v>1.7010291E-2</v>
      </c>
      <c r="K1180" s="38">
        <v>0</v>
      </c>
      <c r="L1180" s="40">
        <v>6.0362986690000007</v>
      </c>
    </row>
    <row r="1181" spans="1:12" hidden="1">
      <c r="A1181" s="37" t="s">
        <v>1995</v>
      </c>
      <c r="B1181" s="37"/>
      <c r="C1181" s="37" t="s">
        <v>921</v>
      </c>
      <c r="D1181" s="64">
        <v>16129</v>
      </c>
      <c r="E1181" s="38">
        <v>1.61</v>
      </c>
      <c r="F1181" s="39">
        <v>5.0334373000000001</v>
      </c>
      <c r="G1181" s="38">
        <v>2.8757887999999999E-2</v>
      </c>
      <c r="H1181" s="38">
        <v>0.17741768999999999</v>
      </c>
      <c r="I1181" s="38">
        <v>0.28938082999999998</v>
      </c>
      <c r="J1181" s="38">
        <v>1.7010291E-2</v>
      </c>
      <c r="K1181" s="38">
        <v>0</v>
      </c>
      <c r="L1181" s="40">
        <v>5.5460039990000007</v>
      </c>
    </row>
    <row r="1182" spans="1:12" hidden="1">
      <c r="A1182" s="37" t="s">
        <v>1996</v>
      </c>
      <c r="B1182" s="37"/>
      <c r="C1182" s="37" t="s">
        <v>921</v>
      </c>
      <c r="D1182" s="64">
        <v>17350</v>
      </c>
      <c r="E1182" s="38">
        <v>1.59</v>
      </c>
      <c r="F1182" s="39">
        <v>0</v>
      </c>
      <c r="G1182" s="38">
        <v>0.47023956</v>
      </c>
      <c r="H1182" s="38">
        <v>0.17741768999999999</v>
      </c>
      <c r="I1182" s="38">
        <v>0.62285199000000002</v>
      </c>
      <c r="J1182" s="38">
        <v>1.7010291E-2</v>
      </c>
      <c r="K1182" s="38">
        <v>0</v>
      </c>
      <c r="L1182" s="40">
        <v>1.2875195310000001</v>
      </c>
    </row>
    <row r="1183" spans="1:12" hidden="1">
      <c r="A1183" s="41" t="s">
        <v>1997</v>
      </c>
      <c r="B1183" s="41"/>
      <c r="C1183" s="41" t="s">
        <v>1989</v>
      </c>
      <c r="D1183" s="65">
        <v>17640</v>
      </c>
      <c r="E1183" s="42">
        <v>4.0199999999999996</v>
      </c>
      <c r="F1183" s="43">
        <v>0</v>
      </c>
      <c r="G1183" s="42">
        <v>1.2985348999999999</v>
      </c>
      <c r="H1183" s="42">
        <v>0.17233329</v>
      </c>
      <c r="I1183" s="42">
        <v>0.10768698</v>
      </c>
      <c r="J1183" s="42">
        <v>1.7010291E-2</v>
      </c>
      <c r="K1183" s="42">
        <v>0</v>
      </c>
      <c r="L1183" s="44">
        <v>1.5955654610000001</v>
      </c>
    </row>
    <row r="1184" spans="1:12" hidden="1">
      <c r="A1184" s="41" t="s">
        <v>1998</v>
      </c>
      <c r="B1184" s="41"/>
      <c r="C1184" s="41" t="s">
        <v>1989</v>
      </c>
      <c r="D1184" s="65">
        <v>17645</v>
      </c>
      <c r="E1184" s="42">
        <v>4.0199999999999996</v>
      </c>
      <c r="F1184" s="43">
        <v>0</v>
      </c>
      <c r="G1184" s="42">
        <v>1.2985348999999999</v>
      </c>
      <c r="H1184" s="42">
        <v>0.17233329</v>
      </c>
      <c r="I1184" s="42">
        <v>0.10768698</v>
      </c>
      <c r="J1184" s="42">
        <v>1.7010291E-2</v>
      </c>
      <c r="K1184" s="42">
        <v>0</v>
      </c>
      <c r="L1184" s="44">
        <v>1.5955654610000001</v>
      </c>
    </row>
    <row r="1185" spans="1:12" hidden="1">
      <c r="A1185" s="41" t="s">
        <v>1999</v>
      </c>
      <c r="B1185" s="41"/>
      <c r="C1185" s="41" t="s">
        <v>921</v>
      </c>
      <c r="D1185" s="65">
        <v>17400</v>
      </c>
      <c r="E1185" s="42">
        <v>3.74</v>
      </c>
      <c r="F1185" s="43">
        <v>0</v>
      </c>
      <c r="G1185" s="42">
        <v>1.7515319</v>
      </c>
      <c r="H1185" s="42">
        <v>0.17741768999999999</v>
      </c>
      <c r="I1185" s="42">
        <v>0.32944488</v>
      </c>
      <c r="J1185" s="42">
        <v>1.7010291E-2</v>
      </c>
      <c r="K1185" s="42">
        <v>0</v>
      </c>
      <c r="L1185" s="44">
        <v>2.2754047609999999</v>
      </c>
    </row>
    <row r="1186" spans="1:12" hidden="1">
      <c r="A1186" s="41" t="s">
        <v>2000</v>
      </c>
      <c r="B1186" s="41"/>
      <c r="C1186" s="41" t="s">
        <v>921</v>
      </c>
      <c r="D1186" s="65">
        <v>17420</v>
      </c>
      <c r="E1186" s="42">
        <v>1.62</v>
      </c>
      <c r="F1186" s="43">
        <v>2.1028476999999999</v>
      </c>
      <c r="G1186" s="42">
        <v>0.14029996</v>
      </c>
      <c r="H1186" s="42">
        <v>0.17741768999999999</v>
      </c>
      <c r="I1186" s="42">
        <v>0.40448773999999998</v>
      </c>
      <c r="J1186" s="42">
        <v>1.7010291E-2</v>
      </c>
      <c r="K1186" s="42">
        <v>0</v>
      </c>
      <c r="L1186" s="44">
        <v>2.842063381</v>
      </c>
    </row>
    <row r="1187" spans="1:12" hidden="1">
      <c r="A1187" s="41" t="s">
        <v>2001</v>
      </c>
      <c r="B1187" s="41"/>
      <c r="C1187" s="41" t="s">
        <v>921</v>
      </c>
      <c r="D1187" s="65">
        <v>17440</v>
      </c>
      <c r="E1187" s="42">
        <v>1.61</v>
      </c>
      <c r="F1187" s="43">
        <v>1.9462013</v>
      </c>
      <c r="G1187" s="42">
        <v>0.20861199999999999</v>
      </c>
      <c r="H1187" s="42">
        <v>0.17741768999999999</v>
      </c>
      <c r="I1187" s="42">
        <v>0.22499620000000001</v>
      </c>
      <c r="J1187" s="42">
        <v>1.7010291E-2</v>
      </c>
      <c r="K1187" s="42">
        <v>0</v>
      </c>
      <c r="L1187" s="44">
        <v>2.5742374809999999</v>
      </c>
    </row>
    <row r="1188" spans="1:12" hidden="1">
      <c r="A1188" s="37" t="s">
        <v>2002</v>
      </c>
      <c r="B1188" s="37"/>
      <c r="C1188" s="37" t="s">
        <v>921</v>
      </c>
      <c r="D1188" s="64">
        <v>17270</v>
      </c>
      <c r="E1188" s="38">
        <v>1.61</v>
      </c>
      <c r="F1188" s="39">
        <v>0.47459846999999999</v>
      </c>
      <c r="G1188" s="38">
        <v>7.4772213000000004E-2</v>
      </c>
      <c r="H1188" s="38">
        <v>0.17741768999999999</v>
      </c>
      <c r="I1188" s="38">
        <v>0.23918872999999999</v>
      </c>
      <c r="J1188" s="38">
        <v>1.7010291E-2</v>
      </c>
      <c r="K1188" s="38">
        <v>0</v>
      </c>
      <c r="L1188" s="40">
        <v>0.9829873939999999</v>
      </c>
    </row>
    <row r="1189" spans="1:12" hidden="1">
      <c r="A1189" s="37" t="s">
        <v>2003</v>
      </c>
      <c r="B1189" s="37"/>
      <c r="C1189" s="37" t="s">
        <v>921</v>
      </c>
      <c r="D1189" s="64">
        <v>16128</v>
      </c>
      <c r="E1189" s="38">
        <v>1.61</v>
      </c>
      <c r="F1189" s="39">
        <v>1.556961</v>
      </c>
      <c r="G1189" s="38">
        <v>0.51719599000000005</v>
      </c>
      <c r="H1189" s="38">
        <v>0.17741768999999999</v>
      </c>
      <c r="I1189" s="38">
        <v>0.24588594</v>
      </c>
      <c r="J1189" s="38">
        <v>1.7010291E-2</v>
      </c>
      <c r="K1189" s="38">
        <v>0</v>
      </c>
      <c r="L1189" s="40">
        <v>2.5144709110000001</v>
      </c>
    </row>
    <row r="1190" spans="1:12" hidden="1">
      <c r="A1190" s="37" t="s">
        <v>2004</v>
      </c>
      <c r="B1190" s="37"/>
      <c r="C1190" s="37" t="s">
        <v>1183</v>
      </c>
      <c r="D1190" s="64">
        <v>10035</v>
      </c>
      <c r="E1190" s="38">
        <v>2.85</v>
      </c>
      <c r="F1190" s="39">
        <v>1.8266391</v>
      </c>
      <c r="G1190" s="38">
        <v>0</v>
      </c>
      <c r="H1190" s="38">
        <v>1.075372</v>
      </c>
      <c r="I1190" s="38">
        <v>0.86809444000000002</v>
      </c>
      <c r="J1190" s="38">
        <v>0.14941549000000001</v>
      </c>
      <c r="K1190" s="38">
        <v>0.99090738</v>
      </c>
      <c r="L1190" s="40">
        <v>4.9104284100000006</v>
      </c>
    </row>
    <row r="1191" spans="1:12" hidden="1">
      <c r="A1191" s="37" t="s">
        <v>2005</v>
      </c>
      <c r="B1191" s="37"/>
      <c r="C1191" s="37" t="s">
        <v>1183</v>
      </c>
      <c r="D1191" s="64">
        <v>10036</v>
      </c>
      <c r="E1191" s="38">
        <v>2.85</v>
      </c>
      <c r="F1191" s="39">
        <v>1.8266391</v>
      </c>
      <c r="G1191" s="38">
        <v>0</v>
      </c>
      <c r="H1191" s="38">
        <v>1.075372</v>
      </c>
      <c r="I1191" s="38">
        <v>0.86809444000000002</v>
      </c>
      <c r="J1191" s="38">
        <v>0.14941549000000001</v>
      </c>
      <c r="K1191" s="38">
        <v>0.99090738</v>
      </c>
      <c r="L1191" s="40">
        <v>4.9104284100000006</v>
      </c>
    </row>
    <row r="1192" spans="1:12" hidden="1">
      <c r="A1192" s="37" t="s">
        <v>2006</v>
      </c>
      <c r="B1192" s="37"/>
      <c r="C1192" s="37" t="s">
        <v>1183</v>
      </c>
      <c r="D1192" s="64">
        <v>10011</v>
      </c>
      <c r="E1192" s="38">
        <v>2.85</v>
      </c>
      <c r="F1192" s="39">
        <v>1.8266391</v>
      </c>
      <c r="G1192" s="38">
        <v>0</v>
      </c>
      <c r="H1192" s="38">
        <v>1.075372</v>
      </c>
      <c r="I1192" s="38">
        <v>0.86809444000000002</v>
      </c>
      <c r="J1192" s="38">
        <v>0.14941549000000001</v>
      </c>
      <c r="K1192" s="38">
        <v>0.99090738</v>
      </c>
      <c r="L1192" s="40">
        <v>4.9104284100000006</v>
      </c>
    </row>
    <row r="1193" spans="1:12" hidden="1">
      <c r="A1193" s="41" t="s">
        <v>2007</v>
      </c>
      <c r="B1193" s="41"/>
      <c r="C1193" s="41" t="s">
        <v>628</v>
      </c>
      <c r="D1193" s="65">
        <v>53503</v>
      </c>
      <c r="E1193" s="42">
        <v>2.8</v>
      </c>
      <c r="F1193" s="43">
        <v>0.18090413</v>
      </c>
      <c r="G1193" s="42">
        <v>0</v>
      </c>
      <c r="H1193" s="42">
        <v>0</v>
      </c>
      <c r="I1193" s="42">
        <v>0.42744976000000001</v>
      </c>
      <c r="J1193" s="42">
        <v>1.4347131000000001E-2</v>
      </c>
      <c r="K1193" s="42">
        <v>0.11006381</v>
      </c>
      <c r="L1193" s="44">
        <v>0.73276483100000001</v>
      </c>
    </row>
    <row r="1194" spans="1:12" hidden="1">
      <c r="A1194" s="41" t="s">
        <v>2008</v>
      </c>
      <c r="B1194" s="41"/>
      <c r="C1194" s="41" t="s">
        <v>628</v>
      </c>
      <c r="D1194" s="65">
        <v>53502</v>
      </c>
      <c r="E1194" s="42">
        <v>2.6</v>
      </c>
      <c r="F1194" s="43">
        <v>0.12705641000000001</v>
      </c>
      <c r="G1194" s="42">
        <v>0</v>
      </c>
      <c r="H1194" s="42">
        <v>0</v>
      </c>
      <c r="I1194" s="42">
        <v>0.30021555</v>
      </c>
      <c r="J1194" s="42">
        <v>1.007658E-2</v>
      </c>
      <c r="K1194" s="42">
        <v>9.9362450999999994E-3</v>
      </c>
      <c r="L1194" s="44">
        <v>0.44728478510000003</v>
      </c>
    </row>
    <row r="1195" spans="1:12" hidden="1">
      <c r="A1195" s="37" t="s">
        <v>2009</v>
      </c>
      <c r="B1195" s="37"/>
      <c r="C1195" s="37" t="s">
        <v>1085</v>
      </c>
      <c r="D1195" s="64">
        <v>39215</v>
      </c>
      <c r="E1195" s="38">
        <v>2.36</v>
      </c>
      <c r="F1195" s="39">
        <v>1.1919188999999999</v>
      </c>
      <c r="G1195" s="38">
        <v>0.18134715000000001</v>
      </c>
      <c r="H1195" s="38">
        <v>0.18549789</v>
      </c>
      <c r="I1195" s="38">
        <v>0.21110971000000001</v>
      </c>
      <c r="J1195" s="38">
        <v>3.7768032999999999E-2</v>
      </c>
      <c r="K1195" s="38">
        <v>6.6736979E-3</v>
      </c>
      <c r="L1195" s="40">
        <v>1.8143153808999997</v>
      </c>
    </row>
    <row r="1196" spans="1:12" hidden="1">
      <c r="A1196" s="37" t="s">
        <v>2010</v>
      </c>
      <c r="B1196" s="37"/>
      <c r="C1196" s="37" t="s">
        <v>1005</v>
      </c>
      <c r="D1196" s="64" t="s">
        <v>2011</v>
      </c>
      <c r="E1196" s="38">
        <v>1.4103973007411641</v>
      </c>
      <c r="F1196" s="39">
        <v>3.9689747</v>
      </c>
      <c r="G1196" s="38">
        <v>0.11010794</v>
      </c>
      <c r="H1196" s="38">
        <v>0.26323455000000001</v>
      </c>
      <c r="I1196" s="38">
        <v>0.10265719</v>
      </c>
      <c r="J1196" s="38">
        <v>1.6443204999999999E-2</v>
      </c>
      <c r="K1196" s="38">
        <v>0</v>
      </c>
      <c r="L1196" s="40">
        <v>4.4614175850000004</v>
      </c>
    </row>
    <row r="1197" spans="1:12" hidden="1">
      <c r="A1197" s="37" t="s">
        <v>2012</v>
      </c>
      <c r="B1197" s="37"/>
      <c r="C1197" s="37" t="s">
        <v>631</v>
      </c>
      <c r="D1197" s="64">
        <v>28905</v>
      </c>
      <c r="E1197" s="38">
        <v>2.4500000000000002</v>
      </c>
      <c r="F1197" s="39">
        <v>7.145581</v>
      </c>
      <c r="G1197" s="38">
        <v>0.60116000000000003</v>
      </c>
      <c r="H1197" s="38">
        <v>0.59768387000000001</v>
      </c>
      <c r="I1197" s="38">
        <v>0.25626989</v>
      </c>
      <c r="J1197" s="38">
        <v>4.6692341999999998E-2</v>
      </c>
      <c r="K1197" s="38">
        <v>8.8693171000000001E-2</v>
      </c>
      <c r="L1197" s="40">
        <v>8.7360802730000007</v>
      </c>
    </row>
    <row r="1198" spans="1:12" hidden="1">
      <c r="A1198" s="37" t="s">
        <v>2013</v>
      </c>
      <c r="B1198" s="37"/>
      <c r="C1198" s="37" t="s">
        <v>631</v>
      </c>
      <c r="D1198" s="64">
        <v>28800</v>
      </c>
      <c r="E1198" s="38">
        <v>2.5099999999999998</v>
      </c>
      <c r="F1198" s="39">
        <v>11.66572</v>
      </c>
      <c r="G1198" s="38">
        <v>1.8648773000000001</v>
      </c>
      <c r="H1198" s="38">
        <v>9.8968344999999999E-2</v>
      </c>
      <c r="I1198" s="38">
        <v>0.22192434</v>
      </c>
      <c r="J1198" s="38">
        <v>3.7353873000000003E-2</v>
      </c>
      <c r="K1198" s="38">
        <v>6.6736979E-3</v>
      </c>
      <c r="L1198" s="40">
        <v>13.8955175559</v>
      </c>
    </row>
    <row r="1199" spans="1:12" hidden="1">
      <c r="A1199" s="37" t="s">
        <v>2014</v>
      </c>
      <c r="B1199" s="37"/>
      <c r="C1199" s="37" t="s">
        <v>631</v>
      </c>
      <c r="D1199" s="64">
        <v>28801</v>
      </c>
      <c r="E1199" s="38">
        <v>2.95</v>
      </c>
      <c r="F1199" s="39">
        <v>11.66572</v>
      </c>
      <c r="G1199" s="38">
        <v>1.8648773000000001</v>
      </c>
      <c r="H1199" s="38">
        <v>9.8968344999999999E-2</v>
      </c>
      <c r="I1199" s="38">
        <v>0.22192434</v>
      </c>
      <c r="J1199" s="38">
        <v>3.7353873000000003E-2</v>
      </c>
      <c r="K1199" s="38">
        <v>6.6736979E-3</v>
      </c>
      <c r="L1199" s="40">
        <v>13.8955175559</v>
      </c>
    </row>
    <row r="1200" spans="1:12" hidden="1">
      <c r="A1200" s="37" t="s">
        <v>2015</v>
      </c>
      <c r="B1200" s="37"/>
      <c r="C1200" s="37" t="s">
        <v>631</v>
      </c>
      <c r="D1200" s="64">
        <v>28804</v>
      </c>
      <c r="E1200" s="38">
        <v>2.95</v>
      </c>
      <c r="F1200" s="39">
        <v>11.66572</v>
      </c>
      <c r="G1200" s="38">
        <v>1.8648773000000001</v>
      </c>
      <c r="H1200" s="38">
        <v>9.8968344999999999E-2</v>
      </c>
      <c r="I1200" s="38">
        <v>0.22192434</v>
      </c>
      <c r="J1200" s="38">
        <v>3.7353873000000003E-2</v>
      </c>
      <c r="K1200" s="38">
        <v>6.6736979E-3</v>
      </c>
      <c r="L1200" s="40">
        <v>13.8955175559</v>
      </c>
    </row>
    <row r="1201" spans="1:12" hidden="1">
      <c r="A1201" s="37" t="s">
        <v>2016</v>
      </c>
      <c r="B1201" s="37"/>
      <c r="C1201" s="37" t="s">
        <v>631</v>
      </c>
      <c r="D1201" s="64">
        <v>28910</v>
      </c>
      <c r="E1201" s="38">
        <v>2.4500000000000002</v>
      </c>
      <c r="F1201" s="39">
        <v>5.7164647999999998</v>
      </c>
      <c r="G1201" s="38">
        <v>0.48092800000000002</v>
      </c>
      <c r="H1201" s="38">
        <v>0.47814709</v>
      </c>
      <c r="I1201" s="38">
        <v>0.20501591</v>
      </c>
      <c r="J1201" s="38">
        <v>3.7353873000000003E-2</v>
      </c>
      <c r="K1201" s="38">
        <v>6.6736979E-3</v>
      </c>
      <c r="L1201" s="40">
        <v>6.9245833708999998</v>
      </c>
    </row>
    <row r="1202" spans="1:12" hidden="1">
      <c r="A1202" s="37" t="s">
        <v>2017</v>
      </c>
      <c r="B1202" s="37"/>
      <c r="C1202" s="37" t="s">
        <v>631</v>
      </c>
      <c r="D1202" s="64">
        <v>28912</v>
      </c>
      <c r="E1202" s="38">
        <v>2.4500000000000002</v>
      </c>
      <c r="F1202" s="39">
        <v>5.7164647999999998</v>
      </c>
      <c r="G1202" s="38">
        <v>0.48092800000000002</v>
      </c>
      <c r="H1202" s="38">
        <v>0.47814709</v>
      </c>
      <c r="I1202" s="38">
        <v>0.20501591</v>
      </c>
      <c r="J1202" s="38">
        <v>3.7353873000000003E-2</v>
      </c>
      <c r="K1202" s="38">
        <v>6.6736979E-3</v>
      </c>
      <c r="L1202" s="40">
        <v>6.9245833708999998</v>
      </c>
    </row>
    <row r="1203" spans="1:12" hidden="1">
      <c r="A1203" s="37" t="s">
        <v>2018</v>
      </c>
      <c r="B1203" s="37"/>
      <c r="C1203" s="37" t="s">
        <v>631</v>
      </c>
      <c r="D1203" s="64">
        <v>28913</v>
      </c>
      <c r="E1203" s="38">
        <v>2.4500000000000002</v>
      </c>
      <c r="F1203" s="39">
        <v>5.7164647999999998</v>
      </c>
      <c r="G1203" s="38">
        <v>0.48092800000000002</v>
      </c>
      <c r="H1203" s="38">
        <v>0.47814709</v>
      </c>
      <c r="I1203" s="38">
        <v>0.20501591</v>
      </c>
      <c r="J1203" s="38">
        <v>3.7353873000000003E-2</v>
      </c>
      <c r="K1203" s="38">
        <v>6.6736979E-3</v>
      </c>
      <c r="L1203" s="40">
        <v>6.9245833708999998</v>
      </c>
    </row>
    <row r="1204" spans="1:12" hidden="1">
      <c r="A1204" s="37" t="s">
        <v>2019</v>
      </c>
      <c r="B1204" s="37"/>
      <c r="C1204" s="37" t="s">
        <v>631</v>
      </c>
      <c r="D1204" s="64">
        <v>28925</v>
      </c>
      <c r="E1204" s="38">
        <v>2.4500000000000002</v>
      </c>
      <c r="F1204" s="39">
        <v>5.7164647999999998</v>
      </c>
      <c r="G1204" s="38">
        <v>0.48092800000000002</v>
      </c>
      <c r="H1204" s="38">
        <v>0.47814709</v>
      </c>
      <c r="I1204" s="38">
        <v>0.20501591</v>
      </c>
      <c r="J1204" s="38">
        <v>3.7353873000000003E-2</v>
      </c>
      <c r="K1204" s="38">
        <v>6.6736979E-3</v>
      </c>
      <c r="L1204" s="40">
        <v>6.9245833708999998</v>
      </c>
    </row>
    <row r="1205" spans="1:12" hidden="1">
      <c r="A1205" s="37" t="s">
        <v>2020</v>
      </c>
      <c r="B1205" s="37"/>
      <c r="C1205" s="37" t="s">
        <v>631</v>
      </c>
      <c r="D1205" s="64">
        <v>28803</v>
      </c>
      <c r="E1205" s="38">
        <v>2.4500000000000002</v>
      </c>
      <c r="F1205" s="39">
        <v>5.7164647999999998</v>
      </c>
      <c r="G1205" s="38">
        <v>0.48092800000000002</v>
      </c>
      <c r="H1205" s="38">
        <v>0.47814709</v>
      </c>
      <c r="I1205" s="38">
        <v>0.20501591</v>
      </c>
      <c r="J1205" s="38">
        <v>3.7353873000000003E-2</v>
      </c>
      <c r="K1205" s="38">
        <v>6.6736979E-3</v>
      </c>
      <c r="L1205" s="40">
        <v>6.9245833708999998</v>
      </c>
    </row>
    <row r="1206" spans="1:12" hidden="1">
      <c r="A1206" s="37" t="s">
        <v>2021</v>
      </c>
      <c r="B1206" s="37"/>
      <c r="C1206" s="37" t="s">
        <v>631</v>
      </c>
      <c r="D1206" s="64">
        <v>28900</v>
      </c>
      <c r="E1206" s="38">
        <v>2.4500000000000002</v>
      </c>
      <c r="F1206" s="39">
        <v>5.7164647999999998</v>
      </c>
      <c r="G1206" s="38">
        <v>0.48092800000000002</v>
      </c>
      <c r="H1206" s="38">
        <v>0.47814709</v>
      </c>
      <c r="I1206" s="38">
        <v>0.20501591</v>
      </c>
      <c r="J1206" s="38">
        <v>3.7353873000000003E-2</v>
      </c>
      <c r="K1206" s="38">
        <v>6.6736979E-3</v>
      </c>
      <c r="L1206" s="40">
        <v>6.9245833708999998</v>
      </c>
    </row>
    <row r="1207" spans="1:12" hidden="1">
      <c r="A1207" s="37" t="s">
        <v>2022</v>
      </c>
      <c r="B1207" s="37"/>
      <c r="C1207" s="37" t="s">
        <v>631</v>
      </c>
      <c r="D1207" s="64">
        <v>28907</v>
      </c>
      <c r="E1207" s="38">
        <v>2.4500000000000002</v>
      </c>
      <c r="F1207" s="39">
        <v>5.7164647999999998</v>
      </c>
      <c r="G1207" s="38">
        <v>0.48092800000000002</v>
      </c>
      <c r="H1207" s="38">
        <v>0.47814709</v>
      </c>
      <c r="I1207" s="38">
        <v>0.20501591</v>
      </c>
      <c r="J1207" s="38">
        <v>3.7353873000000003E-2</v>
      </c>
      <c r="K1207" s="38">
        <v>6.6736979E-3</v>
      </c>
      <c r="L1207" s="40">
        <v>6.9245833708999998</v>
      </c>
    </row>
    <row r="1208" spans="1:12" hidden="1">
      <c r="A1208" s="37" t="s">
        <v>2023</v>
      </c>
      <c r="B1208" s="37"/>
      <c r="C1208" s="37" t="s">
        <v>631</v>
      </c>
      <c r="D1208" s="64">
        <v>28901</v>
      </c>
      <c r="E1208" s="38">
        <v>2.4500000000000002</v>
      </c>
      <c r="F1208" s="39">
        <v>5.7164647999999998</v>
      </c>
      <c r="G1208" s="38">
        <v>0.48092800000000002</v>
      </c>
      <c r="H1208" s="38">
        <v>0.47814709</v>
      </c>
      <c r="I1208" s="38">
        <v>0.20501591</v>
      </c>
      <c r="J1208" s="38">
        <v>3.7353873000000003E-2</v>
      </c>
      <c r="K1208" s="38">
        <v>6.6736979E-3</v>
      </c>
      <c r="L1208" s="40">
        <v>6.9245833708999998</v>
      </c>
    </row>
    <row r="1209" spans="1:12" hidden="1">
      <c r="A1209" s="37" t="s">
        <v>2024</v>
      </c>
      <c r="B1209" s="37"/>
      <c r="C1209" s="37" t="s">
        <v>631</v>
      </c>
      <c r="D1209" s="64">
        <v>28902</v>
      </c>
      <c r="E1209" s="38">
        <v>2.4500000000000002</v>
      </c>
      <c r="F1209" s="39">
        <v>5.7164647999999998</v>
      </c>
      <c r="G1209" s="38">
        <v>0.48092800000000002</v>
      </c>
      <c r="H1209" s="38">
        <v>0.47814709</v>
      </c>
      <c r="I1209" s="38">
        <v>0.20501591</v>
      </c>
      <c r="J1209" s="38">
        <v>3.7353873000000003E-2</v>
      </c>
      <c r="K1209" s="38">
        <v>6.6736979E-3</v>
      </c>
      <c r="L1209" s="40">
        <v>6.9245833708999998</v>
      </c>
    </row>
    <row r="1210" spans="1:12" hidden="1">
      <c r="A1210" s="37" t="s">
        <v>2025</v>
      </c>
      <c r="B1210" s="37"/>
      <c r="C1210" s="37" t="s">
        <v>631</v>
      </c>
      <c r="D1210" s="64">
        <v>28906</v>
      </c>
      <c r="E1210" s="38">
        <v>2.4500000000000002</v>
      </c>
      <c r="F1210" s="39">
        <v>5.7164647999999998</v>
      </c>
      <c r="G1210" s="38">
        <v>0.48092800000000002</v>
      </c>
      <c r="H1210" s="38">
        <v>0.47814709</v>
      </c>
      <c r="I1210" s="38">
        <v>0.20501591</v>
      </c>
      <c r="J1210" s="38">
        <v>3.7353873000000003E-2</v>
      </c>
      <c r="K1210" s="38">
        <v>6.6736979E-3</v>
      </c>
      <c r="L1210" s="40">
        <v>6.9245833708999998</v>
      </c>
    </row>
    <row r="1211" spans="1:12" hidden="1">
      <c r="A1211" s="37" t="s">
        <v>2026</v>
      </c>
      <c r="B1211" s="37"/>
      <c r="C1211" s="37" t="s">
        <v>631</v>
      </c>
      <c r="D1211" s="64">
        <v>28811</v>
      </c>
      <c r="E1211" s="38">
        <v>2.5099999999999998</v>
      </c>
      <c r="F1211" s="39">
        <v>11.66572</v>
      </c>
      <c r="G1211" s="38">
        <v>1.8648773000000001</v>
      </c>
      <c r="H1211" s="38">
        <v>9.8968344999999999E-2</v>
      </c>
      <c r="I1211" s="38">
        <v>0.22192434</v>
      </c>
      <c r="J1211" s="38">
        <v>3.7353873000000003E-2</v>
      </c>
      <c r="K1211" s="38">
        <v>6.6736979E-3</v>
      </c>
      <c r="L1211" s="40">
        <v>13.8955175559</v>
      </c>
    </row>
    <row r="1212" spans="1:12" hidden="1">
      <c r="A1212" s="41" t="s">
        <v>2027</v>
      </c>
      <c r="B1212" s="41"/>
      <c r="C1212" s="41" t="s">
        <v>631</v>
      </c>
      <c r="D1212" s="65">
        <v>28964</v>
      </c>
      <c r="E1212" s="42">
        <v>3.11</v>
      </c>
      <c r="F1212" s="43">
        <v>5.1759893000000003</v>
      </c>
      <c r="G1212" s="42">
        <v>1.0781514000000001</v>
      </c>
      <c r="H1212" s="42">
        <v>0.27530876999999998</v>
      </c>
      <c r="I1212" s="42">
        <v>0.24341649000000001</v>
      </c>
      <c r="J1212" s="42">
        <v>3.7353873000000003E-2</v>
      </c>
      <c r="K1212" s="42">
        <v>6.6736979E-3</v>
      </c>
      <c r="L1212" s="44">
        <v>6.8168935309000007</v>
      </c>
    </row>
    <row r="1213" spans="1:12" hidden="1">
      <c r="A1213" s="37" t="s">
        <v>2028</v>
      </c>
      <c r="B1213" s="37"/>
      <c r="C1213" s="37" t="s">
        <v>631</v>
      </c>
      <c r="D1213" s="64">
        <v>28700</v>
      </c>
      <c r="E1213" s="38">
        <v>2.4500000000000002</v>
      </c>
      <c r="F1213" s="39">
        <v>5.7164647999999998</v>
      </c>
      <c r="G1213" s="38">
        <v>0.48092800000000002</v>
      </c>
      <c r="H1213" s="38">
        <v>0.47814709</v>
      </c>
      <c r="I1213" s="38">
        <v>0.20501591</v>
      </c>
      <c r="J1213" s="38">
        <v>3.7353873000000003E-2</v>
      </c>
      <c r="K1213" s="38">
        <v>6.6736979E-3</v>
      </c>
      <c r="L1213" s="40">
        <v>6.9245833708999998</v>
      </c>
    </row>
    <row r="1214" spans="1:12" hidden="1">
      <c r="A1214" s="37" t="s">
        <v>2029</v>
      </c>
      <c r="B1214" s="37"/>
      <c r="C1214" s="37" t="s">
        <v>631</v>
      </c>
      <c r="D1214" s="64">
        <v>28963</v>
      </c>
      <c r="E1214" s="38">
        <v>2.66</v>
      </c>
      <c r="F1214" s="39">
        <v>5.1759893000000003</v>
      </c>
      <c r="G1214" s="38">
        <v>1.0781514000000001</v>
      </c>
      <c r="H1214" s="38">
        <v>0.27530876999999998</v>
      </c>
      <c r="I1214" s="38">
        <v>0.24341649000000001</v>
      </c>
      <c r="J1214" s="38">
        <v>3.7353873000000003E-2</v>
      </c>
      <c r="K1214" s="38">
        <v>6.6736979E-3</v>
      </c>
      <c r="L1214" s="40">
        <v>6.8168935309000007</v>
      </c>
    </row>
    <row r="1215" spans="1:12" hidden="1">
      <c r="A1215" s="37" t="s">
        <v>2030</v>
      </c>
      <c r="B1215" s="37"/>
      <c r="C1215" s="37" t="s">
        <v>631</v>
      </c>
      <c r="D1215" s="64">
        <v>8395</v>
      </c>
      <c r="E1215" s="38">
        <v>2.33</v>
      </c>
      <c r="F1215" s="39">
        <v>6.7716438999999999</v>
      </c>
      <c r="G1215" s="38">
        <v>0.85942620999999997</v>
      </c>
      <c r="H1215" s="38">
        <v>0.56536405999999995</v>
      </c>
      <c r="I1215" s="38">
        <v>0.22488673000000001</v>
      </c>
      <c r="J1215" s="38">
        <v>3.7768032999999999E-2</v>
      </c>
      <c r="K1215" s="38">
        <v>9.2564276000000001E-2</v>
      </c>
      <c r="L1215" s="40">
        <v>8.5516532089999995</v>
      </c>
    </row>
    <row r="1216" spans="1:12" hidden="1">
      <c r="A1216" s="37" t="s">
        <v>2031</v>
      </c>
      <c r="B1216" s="37"/>
      <c r="C1216" s="37" t="s">
        <v>631</v>
      </c>
      <c r="D1216" s="64">
        <v>28812</v>
      </c>
      <c r="E1216" s="38">
        <v>2.5099999999999998</v>
      </c>
      <c r="F1216" s="39">
        <v>14.58215</v>
      </c>
      <c r="G1216" s="38">
        <v>2.3310966</v>
      </c>
      <c r="H1216" s="38">
        <v>0.12371043</v>
      </c>
      <c r="I1216" s="38">
        <v>0.27740542000000001</v>
      </c>
      <c r="J1216" s="38">
        <v>4.6692341999999998E-2</v>
      </c>
      <c r="K1216" s="38">
        <v>8.8693171000000001E-2</v>
      </c>
      <c r="L1216" s="40">
        <v>17.449747963</v>
      </c>
    </row>
    <row r="1217" spans="1:12" hidden="1">
      <c r="A1217" s="37" t="s">
        <v>2032</v>
      </c>
      <c r="B1217" s="37"/>
      <c r="C1217" s="37" t="s">
        <v>631</v>
      </c>
      <c r="D1217" s="64">
        <v>28844</v>
      </c>
      <c r="E1217" s="38">
        <v>2.5099999999999998</v>
      </c>
      <c r="F1217" s="39">
        <v>14.58215</v>
      </c>
      <c r="G1217" s="38">
        <v>2.3310966</v>
      </c>
      <c r="H1217" s="38">
        <v>0.12371043</v>
      </c>
      <c r="I1217" s="38">
        <v>0.27740542000000001</v>
      </c>
      <c r="J1217" s="38">
        <v>4.6692341999999998E-2</v>
      </c>
      <c r="K1217" s="38">
        <v>8.8693171000000001E-2</v>
      </c>
      <c r="L1217" s="40">
        <v>17.449747963</v>
      </c>
    </row>
    <row r="1218" spans="1:12" hidden="1">
      <c r="A1218" s="41" t="s">
        <v>2033</v>
      </c>
      <c r="B1218" s="41"/>
      <c r="C1218" s="41" t="s">
        <v>631</v>
      </c>
      <c r="D1218" s="65">
        <v>28845</v>
      </c>
      <c r="E1218" s="42">
        <v>2.5099999999999998</v>
      </c>
      <c r="F1218" s="43">
        <v>14.58215</v>
      </c>
      <c r="G1218" s="42">
        <v>2.3310966</v>
      </c>
      <c r="H1218" s="42">
        <v>0.12371043000000001</v>
      </c>
      <c r="I1218" s="42">
        <v>0.27740542000000001</v>
      </c>
      <c r="J1218" s="42">
        <v>4.6692341999999998E-2</v>
      </c>
      <c r="K1218" s="42">
        <v>8.8693171000000001E-2</v>
      </c>
      <c r="L1218" s="44">
        <v>17.449747963</v>
      </c>
    </row>
    <row r="1219" spans="1:12" hidden="1">
      <c r="A1219" s="37" t="s">
        <v>2034</v>
      </c>
      <c r="B1219" s="37"/>
      <c r="C1219" s="37" t="s">
        <v>631</v>
      </c>
      <c r="D1219" s="64">
        <v>28802</v>
      </c>
      <c r="E1219" s="38">
        <v>2.5099999999999998</v>
      </c>
      <c r="F1219" s="39">
        <v>14.58215</v>
      </c>
      <c r="G1219" s="38">
        <v>2.3310966</v>
      </c>
      <c r="H1219" s="38">
        <v>0.12371043</v>
      </c>
      <c r="I1219" s="38">
        <v>0.27740542000000001</v>
      </c>
      <c r="J1219" s="38">
        <v>4.6692341999999998E-2</v>
      </c>
      <c r="K1219" s="38">
        <v>8.8693171000000001E-2</v>
      </c>
      <c r="L1219" s="40">
        <v>17.449747963</v>
      </c>
    </row>
    <row r="1220" spans="1:12" hidden="1">
      <c r="A1220" s="37" t="s">
        <v>2035</v>
      </c>
      <c r="B1220" s="37"/>
      <c r="C1220" s="37" t="s">
        <v>631</v>
      </c>
      <c r="D1220" s="64">
        <v>28960</v>
      </c>
      <c r="E1220" s="38">
        <v>2.4500000000000002</v>
      </c>
      <c r="F1220" s="39">
        <v>7.145581</v>
      </c>
      <c r="G1220" s="38">
        <v>0.60116000000000003</v>
      </c>
      <c r="H1220" s="38">
        <v>0.59768387000000001</v>
      </c>
      <c r="I1220" s="38">
        <v>0.25626989</v>
      </c>
      <c r="J1220" s="38">
        <v>4.6692341999999998E-2</v>
      </c>
      <c r="K1220" s="38">
        <v>8.8693171000000001E-2</v>
      </c>
      <c r="L1220" s="40">
        <v>8.7360802730000007</v>
      </c>
    </row>
    <row r="1221" spans="1:12" hidden="1">
      <c r="A1221" s="37" t="s">
        <v>2036</v>
      </c>
      <c r="B1221" s="37"/>
      <c r="C1221" s="37" t="s">
        <v>826</v>
      </c>
      <c r="D1221" s="64">
        <v>26240</v>
      </c>
      <c r="E1221" s="38">
        <v>3.68</v>
      </c>
      <c r="F1221" s="39">
        <v>0.28543309</v>
      </c>
      <c r="G1221" s="38">
        <v>0</v>
      </c>
      <c r="H1221" s="38">
        <v>0.27530876999999998</v>
      </c>
      <c r="I1221" s="38">
        <v>0.90277483999999997</v>
      </c>
      <c r="J1221" s="38">
        <v>3.7353873000000003E-2</v>
      </c>
      <c r="K1221" s="38">
        <v>6.6736979E-3</v>
      </c>
      <c r="L1221" s="40">
        <v>1.5075442709</v>
      </c>
    </row>
    <row r="1222" spans="1:12" hidden="1">
      <c r="A1222" s="41" t="s">
        <v>2037</v>
      </c>
      <c r="B1222" s="41"/>
      <c r="C1222" s="41" t="s">
        <v>842</v>
      </c>
      <c r="D1222" s="65">
        <v>20265</v>
      </c>
      <c r="E1222" s="42">
        <v>2.88</v>
      </c>
      <c r="F1222" s="43">
        <v>0.12970975000000001</v>
      </c>
      <c r="G1222" s="42">
        <v>0.10612947</v>
      </c>
      <c r="H1222" s="42">
        <v>0.18031389</v>
      </c>
      <c r="I1222" s="42">
        <v>0.22035985999999999</v>
      </c>
      <c r="J1222" s="42">
        <v>6.5218400999999995E-2</v>
      </c>
      <c r="K1222" s="42">
        <v>2.5251829999999999E-2</v>
      </c>
      <c r="L1222" s="44">
        <v>0.72698320099999991</v>
      </c>
    </row>
    <row r="1223" spans="1:12" hidden="1">
      <c r="A1223" s="37" t="s">
        <v>2038</v>
      </c>
      <c r="B1223" s="37"/>
      <c r="C1223" s="37" t="s">
        <v>826</v>
      </c>
      <c r="D1223" s="64">
        <v>26130</v>
      </c>
      <c r="E1223" s="38">
        <v>3.64</v>
      </c>
      <c r="F1223" s="39">
        <v>9.3213296000000003</v>
      </c>
      <c r="G1223" s="38">
        <v>0</v>
      </c>
      <c r="H1223" s="38">
        <v>0.27530876999999998</v>
      </c>
      <c r="I1223" s="38">
        <v>1.1705296999999999</v>
      </c>
      <c r="J1223" s="38">
        <v>3.7353873000000003E-2</v>
      </c>
      <c r="K1223" s="38">
        <v>6.6736979E-3</v>
      </c>
      <c r="L1223" s="40">
        <v>10.811195640900001</v>
      </c>
    </row>
    <row r="1224" spans="1:12" hidden="1">
      <c r="A1224" s="37" t="s">
        <v>2039</v>
      </c>
      <c r="B1224" s="37"/>
      <c r="C1224" s="37" t="s">
        <v>873</v>
      </c>
      <c r="D1224" s="64">
        <v>26234</v>
      </c>
      <c r="E1224" s="38">
        <v>3.52</v>
      </c>
      <c r="F1224" s="39">
        <v>11.381883999999999</v>
      </c>
      <c r="G1224" s="38">
        <v>0</v>
      </c>
      <c r="H1224" s="38">
        <v>0.22504651000000001</v>
      </c>
      <c r="I1224" s="38">
        <v>1.4292847</v>
      </c>
      <c r="J1224" s="38">
        <v>4.5611246000000001E-2</v>
      </c>
      <c r="K1224" s="38">
        <v>9.4039550999999999E-2</v>
      </c>
      <c r="L1224" s="40">
        <v>13.175866007</v>
      </c>
    </row>
    <row r="1225" spans="1:12">
      <c r="A1225" s="37" t="s">
        <v>2040</v>
      </c>
      <c r="B1225" s="37"/>
      <c r="C1225" s="37" t="s">
        <v>650</v>
      </c>
      <c r="D1225" s="64">
        <v>2000</v>
      </c>
      <c r="E1225" s="38">
        <v>2.1362148659299547</v>
      </c>
      <c r="F1225" s="39">
        <v>0</v>
      </c>
      <c r="G1225" s="38">
        <v>0</v>
      </c>
      <c r="H1225" s="38">
        <v>4.5697106999999999</v>
      </c>
      <c r="I1225" s="38">
        <v>0.10768698</v>
      </c>
      <c r="J1225" s="38">
        <v>1.4481653000000001E-2</v>
      </c>
      <c r="K1225" s="38">
        <v>0</v>
      </c>
      <c r="L1225" s="40">
        <v>4.6918793330000002</v>
      </c>
    </row>
    <row r="1226" spans="1:12">
      <c r="A1226" s="37" t="s">
        <v>2041</v>
      </c>
      <c r="B1226" s="37"/>
      <c r="C1226" s="37" t="s">
        <v>650</v>
      </c>
      <c r="D1226" s="64">
        <v>2073</v>
      </c>
      <c r="E1226" s="38">
        <v>2.1385065356205413</v>
      </c>
      <c r="F1226" s="39">
        <v>5.8501390000000004</v>
      </c>
      <c r="G1226" s="38">
        <v>7.7676719000000005E-2</v>
      </c>
      <c r="H1226" s="38">
        <v>9.9850469999999997E-2</v>
      </c>
      <c r="I1226" s="38">
        <v>0.42489596000000002</v>
      </c>
      <c r="J1226" s="38">
        <v>1.4481653000000001E-2</v>
      </c>
      <c r="K1226" s="38">
        <v>0</v>
      </c>
      <c r="L1226" s="40">
        <v>6.4670438020000001</v>
      </c>
    </row>
    <row r="1227" spans="1:12">
      <c r="A1227" s="37" t="s">
        <v>2042</v>
      </c>
      <c r="B1227" s="37"/>
      <c r="C1227" s="37" t="s">
        <v>650</v>
      </c>
      <c r="D1227" s="64">
        <v>1</v>
      </c>
      <c r="E1227" s="38">
        <v>2.0165036182720528</v>
      </c>
      <c r="F1227" s="39">
        <v>0.18969901</v>
      </c>
      <c r="G1227" s="38">
        <v>0.12062191</v>
      </c>
      <c r="H1227" s="38">
        <v>0.47782284000000003</v>
      </c>
      <c r="I1227" s="38">
        <v>0.28387142999999998</v>
      </c>
      <c r="J1227" s="38">
        <v>1.4990579E-2</v>
      </c>
      <c r="K1227" s="38">
        <v>0</v>
      </c>
      <c r="L1227" s="40">
        <v>1.0870057690000001</v>
      </c>
    </row>
    <row r="1228" spans="1:12">
      <c r="A1228" s="37" t="s">
        <v>2043</v>
      </c>
      <c r="B1228" s="37"/>
      <c r="C1228" s="37" t="s">
        <v>650</v>
      </c>
      <c r="D1228" s="64">
        <v>2006</v>
      </c>
      <c r="E1228" s="38">
        <v>2.089705368681146</v>
      </c>
      <c r="F1228" s="39">
        <v>0.1206663</v>
      </c>
      <c r="G1228" s="38">
        <v>2.2601649000000001E-2</v>
      </c>
      <c r="H1228" s="38">
        <v>6.7418723E-2</v>
      </c>
      <c r="I1228" s="38">
        <v>0.12394057999999999</v>
      </c>
      <c r="J1228" s="38">
        <v>1.476004E-2</v>
      </c>
      <c r="K1228" s="38">
        <v>0</v>
      </c>
      <c r="L1228" s="40">
        <v>0.34938729199999996</v>
      </c>
    </row>
    <row r="1229" spans="1:12">
      <c r="A1229" s="37" t="s">
        <v>2044</v>
      </c>
      <c r="B1229" s="37"/>
      <c r="C1229" s="37" t="s">
        <v>650</v>
      </c>
      <c r="D1229" s="64">
        <v>2028</v>
      </c>
      <c r="E1229" s="38">
        <v>1.9502766114236323</v>
      </c>
      <c r="F1229" s="39">
        <v>0.32369566999999999</v>
      </c>
      <c r="G1229" s="38">
        <v>9.5737300999999997E-2</v>
      </c>
      <c r="H1229" s="38">
        <v>0.14862197999999999</v>
      </c>
      <c r="I1229" s="38">
        <v>0.20398529000000001</v>
      </c>
      <c r="J1229" s="38">
        <v>1.4903286999999999E-2</v>
      </c>
      <c r="K1229" s="38">
        <v>0</v>
      </c>
      <c r="L1229" s="40">
        <v>0.78694352799999989</v>
      </c>
    </row>
    <row r="1230" spans="1:12">
      <c r="A1230" s="37" t="s">
        <v>2045</v>
      </c>
      <c r="B1230" s="37"/>
      <c r="C1230" s="37" t="s">
        <v>650</v>
      </c>
      <c r="D1230" s="64" t="s">
        <v>2046</v>
      </c>
      <c r="E1230" s="38">
        <v>2.0388103263856285</v>
      </c>
      <c r="F1230" s="39">
        <v>0.31548400999999998</v>
      </c>
      <c r="G1230" s="38">
        <v>3.9428113000000001E-2</v>
      </c>
      <c r="H1230" s="38">
        <v>9.9850469999999997E-2</v>
      </c>
      <c r="I1230" s="38">
        <v>0.15593967</v>
      </c>
      <c r="J1230" s="38">
        <v>1.4481653000000001E-2</v>
      </c>
      <c r="K1230" s="38">
        <v>0</v>
      </c>
      <c r="L1230" s="40">
        <v>0.62518391600000001</v>
      </c>
    </row>
    <row r="1231" spans="1:12">
      <c r="A1231" s="37" t="s">
        <v>2047</v>
      </c>
      <c r="B1231" s="37"/>
      <c r="C1231" s="37" t="s">
        <v>650</v>
      </c>
      <c r="D1231" s="64">
        <v>2023</v>
      </c>
      <c r="E1231" s="38">
        <v>2.111863731043873</v>
      </c>
      <c r="F1231" s="39">
        <v>9.0990655000000004E-2</v>
      </c>
      <c r="G1231" s="38">
        <v>0.12330973000000001</v>
      </c>
      <c r="H1231" s="38">
        <v>6.7418723E-2</v>
      </c>
      <c r="I1231" s="38">
        <v>0.18003841000000001</v>
      </c>
      <c r="J1231" s="38">
        <v>1.4481653000000001E-2</v>
      </c>
      <c r="K1231" s="38">
        <v>0</v>
      </c>
      <c r="L1231" s="40">
        <v>0.47623917099999996</v>
      </c>
    </row>
    <row r="1232" spans="1:12">
      <c r="A1232" s="37" t="s">
        <v>2048</v>
      </c>
      <c r="B1232" s="37"/>
      <c r="C1232" s="37" t="s">
        <v>650</v>
      </c>
      <c r="D1232" s="64">
        <v>2027</v>
      </c>
      <c r="E1232" s="38">
        <v>2.089705368681146</v>
      </c>
      <c r="F1232" s="39">
        <v>0.33761395</v>
      </c>
      <c r="G1232" s="38">
        <v>8.0097150000000006E-2</v>
      </c>
      <c r="H1232" s="38">
        <v>6.7418723E-2</v>
      </c>
      <c r="I1232" s="38">
        <v>0.42239049000000001</v>
      </c>
      <c r="J1232" s="38">
        <v>1.476004E-2</v>
      </c>
      <c r="K1232" s="38">
        <v>0</v>
      </c>
      <c r="L1232" s="40">
        <v>0.922280353</v>
      </c>
    </row>
    <row r="1233" spans="1:12">
      <c r="A1233" s="37" t="s">
        <v>2049</v>
      </c>
      <c r="B1233" s="37"/>
      <c r="C1233" s="37" t="s">
        <v>650</v>
      </c>
      <c r="D1233" s="64">
        <v>2074</v>
      </c>
      <c r="E1233" s="38">
        <v>2.38</v>
      </c>
      <c r="F1233" s="39">
        <v>0.12445426</v>
      </c>
      <c r="G1233" s="38">
        <v>0.11571353</v>
      </c>
      <c r="H1233" s="38">
        <v>9.9850469999999997E-2</v>
      </c>
      <c r="I1233" s="38">
        <v>0.14523236</v>
      </c>
      <c r="J1233" s="38">
        <v>1.5350219999999999E-2</v>
      </c>
      <c r="K1233" s="38">
        <v>0</v>
      </c>
      <c r="L1233" s="40">
        <v>0.50060084000000005</v>
      </c>
    </row>
    <row r="1234" spans="1:12">
      <c r="A1234" s="37" t="s">
        <v>2050</v>
      </c>
      <c r="B1234" s="37"/>
      <c r="C1234" s="37" t="s">
        <v>650</v>
      </c>
      <c r="D1234" s="64">
        <v>2016</v>
      </c>
      <c r="E1234" s="38">
        <v>2.0409042017417502</v>
      </c>
      <c r="F1234" s="39">
        <v>0.22458828</v>
      </c>
      <c r="G1234" s="38">
        <v>2.0389839999999999E-2</v>
      </c>
      <c r="H1234" s="38">
        <v>6.7418723E-2</v>
      </c>
      <c r="I1234" s="38">
        <v>0.11876902</v>
      </c>
      <c r="J1234" s="38">
        <v>1.456406E-2</v>
      </c>
      <c r="K1234" s="38">
        <v>0</v>
      </c>
      <c r="L1234" s="40">
        <v>0.44572992299999997</v>
      </c>
    </row>
    <row r="1235" spans="1:12">
      <c r="A1235" s="41" t="s">
        <v>2051</v>
      </c>
      <c r="B1235" s="41"/>
      <c r="C1235" s="41" t="s">
        <v>650</v>
      </c>
      <c r="D1235" s="65">
        <v>2053</v>
      </c>
      <c r="E1235" s="42">
        <v>2.1141059521508434</v>
      </c>
      <c r="F1235" s="43">
        <v>0.15520834</v>
      </c>
      <c r="G1235" s="42">
        <v>5.7111279000000001E-2</v>
      </c>
      <c r="H1235" s="42">
        <v>6.7418723E-2</v>
      </c>
      <c r="I1235" s="42">
        <v>0.20327491</v>
      </c>
      <c r="J1235" s="42">
        <v>1.4903286999999999E-2</v>
      </c>
      <c r="K1235" s="42">
        <v>0</v>
      </c>
      <c r="L1235" s="44">
        <v>0.49791653899999999</v>
      </c>
    </row>
    <row r="1236" spans="1:12">
      <c r="A1236" s="37" t="s">
        <v>2052</v>
      </c>
      <c r="B1236" s="37"/>
      <c r="C1236" s="37" t="s">
        <v>650</v>
      </c>
      <c r="D1236" s="64">
        <v>2012</v>
      </c>
      <c r="E1236" s="38">
        <v>2.0214198005133719</v>
      </c>
      <c r="F1236" s="39">
        <v>0.13618332</v>
      </c>
      <c r="G1236" s="38">
        <v>0.53951959000000005</v>
      </c>
      <c r="H1236" s="38">
        <v>6.7418723E-2</v>
      </c>
      <c r="I1236" s="38">
        <v>0.34110677</v>
      </c>
      <c r="J1236" s="38">
        <v>1.4481653000000001E-2</v>
      </c>
      <c r="K1236" s="38">
        <v>0</v>
      </c>
      <c r="L1236" s="40">
        <v>1.098710056</v>
      </c>
    </row>
    <row r="1237" spans="1:12">
      <c r="A1237" s="37" t="s">
        <v>2053</v>
      </c>
      <c r="B1237" s="37"/>
      <c r="C1237" s="37" t="s">
        <v>650</v>
      </c>
      <c r="D1237" s="64">
        <v>2013</v>
      </c>
      <c r="E1237" s="38">
        <v>2.27</v>
      </c>
      <c r="F1237" s="39">
        <v>0.24837290000000001</v>
      </c>
      <c r="G1237" s="38">
        <v>0.32048155</v>
      </c>
      <c r="H1237" s="38">
        <v>9.9850469999999997E-2</v>
      </c>
      <c r="I1237" s="38">
        <v>0.19335566000000001</v>
      </c>
      <c r="J1237" s="38">
        <v>3.5836186999999999E-2</v>
      </c>
      <c r="K1237" s="38">
        <v>6.6736979E-3</v>
      </c>
      <c r="L1237" s="40">
        <v>0.90457046490000015</v>
      </c>
    </row>
    <row r="1238" spans="1:12">
      <c r="A1238" s="37" t="s">
        <v>2054</v>
      </c>
      <c r="B1238" s="37"/>
      <c r="C1238" s="37" t="s">
        <v>650</v>
      </c>
      <c r="D1238" s="64">
        <v>2011</v>
      </c>
      <c r="E1238" s="38">
        <v>2.02</v>
      </c>
      <c r="F1238" s="39">
        <v>6.3159615000000002E-2</v>
      </c>
      <c r="G1238" s="38">
        <v>0.71145762999999995</v>
      </c>
      <c r="H1238" s="38">
        <v>6.7418723E-2</v>
      </c>
      <c r="I1238" s="38">
        <v>0.21568842999999999</v>
      </c>
      <c r="J1238" s="38">
        <v>1.4481653000000001E-2</v>
      </c>
      <c r="K1238" s="38">
        <v>0</v>
      </c>
      <c r="L1238" s="40">
        <v>1.072206051</v>
      </c>
    </row>
    <row r="1239" spans="1:12">
      <c r="A1239" s="37" t="s">
        <v>2055</v>
      </c>
      <c r="B1239" s="37"/>
      <c r="C1239" s="37" t="s">
        <v>650</v>
      </c>
      <c r="D1239" s="64">
        <v>2048</v>
      </c>
      <c r="E1239" s="38">
        <v>2.0388103263856285</v>
      </c>
      <c r="F1239" s="39">
        <v>6.2096004000000003E-2</v>
      </c>
      <c r="G1239" s="38">
        <v>0.33525128999999998</v>
      </c>
      <c r="H1239" s="38">
        <v>9.9850469999999997E-2</v>
      </c>
      <c r="I1239" s="38">
        <v>0.20669109999999999</v>
      </c>
      <c r="J1239" s="38">
        <v>1.4481653000000001E-2</v>
      </c>
      <c r="K1239" s="38">
        <v>0</v>
      </c>
      <c r="L1239" s="40">
        <v>0.71837051699999999</v>
      </c>
    </row>
    <row r="1240" spans="1:12">
      <c r="A1240" s="37" t="s">
        <v>2056</v>
      </c>
      <c r="B1240" s="37"/>
      <c r="C1240" s="37" t="s">
        <v>650</v>
      </c>
      <c r="D1240" s="64">
        <v>2069</v>
      </c>
      <c r="E1240" s="38">
        <v>3.11</v>
      </c>
      <c r="F1240" s="39">
        <v>0.23393654999999999</v>
      </c>
      <c r="G1240" s="38">
        <v>8.8360645000000002E-2</v>
      </c>
      <c r="H1240" s="38">
        <v>0.14862197999999999</v>
      </c>
      <c r="I1240" s="38">
        <v>0.32113777999999998</v>
      </c>
      <c r="J1240" s="38">
        <v>3.5836186999999999E-2</v>
      </c>
      <c r="K1240" s="38">
        <v>6.6736979E-3</v>
      </c>
      <c r="L1240" s="40">
        <v>0.83456683990000002</v>
      </c>
    </row>
    <row r="1241" spans="1:12">
      <c r="A1241" s="37" t="s">
        <v>2057</v>
      </c>
      <c r="B1241" s="37"/>
      <c r="C1241" s="37" t="s">
        <v>650</v>
      </c>
      <c r="D1241" s="64">
        <v>2002</v>
      </c>
      <c r="E1241" s="38">
        <v>3.11</v>
      </c>
      <c r="F1241" s="39">
        <v>0.23393654999999999</v>
      </c>
      <c r="G1241" s="38">
        <v>8.8360645000000002E-2</v>
      </c>
      <c r="H1241" s="38">
        <v>0.14862197999999999</v>
      </c>
      <c r="I1241" s="38">
        <v>0.32113777999999998</v>
      </c>
      <c r="J1241" s="38">
        <v>3.5836186999999999E-2</v>
      </c>
      <c r="K1241" s="38">
        <v>6.6736979E-3</v>
      </c>
      <c r="L1241" s="40">
        <v>0.83456683990000002</v>
      </c>
    </row>
    <row r="1242" spans="1:12">
      <c r="A1242" s="37" t="s">
        <v>2058</v>
      </c>
      <c r="B1242" s="37"/>
      <c r="C1242" s="37" t="s">
        <v>650</v>
      </c>
      <c r="D1242" s="64">
        <v>2035</v>
      </c>
      <c r="E1242" s="38">
        <v>3.11</v>
      </c>
      <c r="F1242" s="39">
        <v>0.23393654999999999</v>
      </c>
      <c r="G1242" s="38">
        <v>8.8360645000000002E-2</v>
      </c>
      <c r="H1242" s="38">
        <v>0.14862197999999999</v>
      </c>
      <c r="I1242" s="38">
        <v>0.32113777999999998</v>
      </c>
      <c r="J1242" s="38">
        <v>3.5836186999999999E-2</v>
      </c>
      <c r="K1242" s="38">
        <v>6.6736979E-3</v>
      </c>
      <c r="L1242" s="40">
        <v>0.83456683990000002</v>
      </c>
    </row>
    <row r="1243" spans="1:12" hidden="1">
      <c r="A1243" s="37" t="s">
        <v>2059</v>
      </c>
      <c r="B1243" s="37"/>
      <c r="C1243" s="37" t="s">
        <v>634</v>
      </c>
      <c r="D1243" s="64">
        <v>13066</v>
      </c>
      <c r="E1243" s="38">
        <v>3.01</v>
      </c>
      <c r="F1243" s="39">
        <v>0.48760375</v>
      </c>
      <c r="G1243" s="38">
        <v>0</v>
      </c>
      <c r="H1243" s="38">
        <v>0</v>
      </c>
      <c r="I1243" s="38">
        <v>0.32572637999999998</v>
      </c>
      <c r="J1243" s="38">
        <v>6.7501727000000003E-3</v>
      </c>
      <c r="K1243" s="38">
        <v>8.0351048999999994E-2</v>
      </c>
      <c r="L1243" s="40">
        <v>0.90043135169999999</v>
      </c>
    </row>
    <row r="1244" spans="1:12" hidden="1">
      <c r="A1244" s="37" t="s">
        <v>2060</v>
      </c>
      <c r="B1244" s="37"/>
      <c r="C1244" s="37" t="s">
        <v>1454</v>
      </c>
      <c r="D1244" s="64">
        <v>11008</v>
      </c>
      <c r="E1244" s="38">
        <v>2.76</v>
      </c>
      <c r="F1244" s="39">
        <v>0.21625997999999999</v>
      </c>
      <c r="G1244" s="38">
        <v>0.20209295999999999</v>
      </c>
      <c r="H1244" s="38">
        <v>0.22578116000000001</v>
      </c>
      <c r="I1244" s="38">
        <v>0.25389065999999999</v>
      </c>
      <c r="J1244" s="38">
        <v>3.9976882999999998E-2</v>
      </c>
      <c r="K1244" s="38">
        <v>6.6736979E-3</v>
      </c>
      <c r="L1244" s="40">
        <v>0.94467534090000005</v>
      </c>
    </row>
    <row r="1245" spans="1:12" hidden="1">
      <c r="A1245" s="37" t="s">
        <v>2061</v>
      </c>
      <c r="B1245" s="37"/>
      <c r="C1245" s="37" t="s">
        <v>818</v>
      </c>
      <c r="D1245" s="64">
        <v>51550</v>
      </c>
      <c r="E1245" s="38">
        <v>1.95</v>
      </c>
      <c r="F1245" s="39">
        <v>0.21559353000000001</v>
      </c>
      <c r="G1245" s="38">
        <v>0.17602782</v>
      </c>
      <c r="H1245" s="38">
        <v>0.27085932000000001</v>
      </c>
      <c r="I1245" s="38">
        <v>0.19056496000000001</v>
      </c>
      <c r="J1245" s="38">
        <v>3.7768032999999999E-2</v>
      </c>
      <c r="K1245" s="38">
        <v>9.2564276000000001E-2</v>
      </c>
      <c r="L1245" s="40">
        <v>0.98337793899999992</v>
      </c>
    </row>
    <row r="1246" spans="1:12" hidden="1">
      <c r="A1246" s="37" t="s">
        <v>2062</v>
      </c>
      <c r="B1246" s="37"/>
      <c r="C1246" s="37" t="s">
        <v>657</v>
      </c>
      <c r="D1246" s="64">
        <v>1018</v>
      </c>
      <c r="E1246" s="38">
        <v>2.97</v>
      </c>
      <c r="F1246" s="39">
        <v>0.42331324999999997</v>
      </c>
      <c r="G1246" s="38">
        <v>5.964361E-2</v>
      </c>
      <c r="H1246" s="38">
        <v>0.47782284000000003</v>
      </c>
      <c r="I1246" s="38">
        <v>0.30764457000000001</v>
      </c>
      <c r="J1246" s="38">
        <v>3.5836186999999999E-2</v>
      </c>
      <c r="K1246" s="38">
        <v>6.6736979E-3</v>
      </c>
      <c r="L1246" s="40">
        <v>1.3109341549</v>
      </c>
    </row>
    <row r="1247" spans="1:12" hidden="1">
      <c r="A1247" s="37" t="s">
        <v>2063</v>
      </c>
      <c r="B1247" s="37"/>
      <c r="C1247" s="37" t="s">
        <v>657</v>
      </c>
      <c r="D1247" s="64">
        <v>1019</v>
      </c>
      <c r="E1247" s="38">
        <v>2.97</v>
      </c>
      <c r="F1247" s="39">
        <v>0.43381997</v>
      </c>
      <c r="G1247" s="38">
        <v>6.0928319000000002E-2</v>
      </c>
      <c r="H1247" s="38">
        <v>0.47782284000000003</v>
      </c>
      <c r="I1247" s="38">
        <v>0.30728538999999999</v>
      </c>
      <c r="J1247" s="38">
        <v>3.5836186999999999E-2</v>
      </c>
      <c r="K1247" s="38">
        <v>6.6736979E-3</v>
      </c>
      <c r="L1247" s="40">
        <v>1.3223664038999998</v>
      </c>
    </row>
    <row r="1248" spans="1:12" hidden="1">
      <c r="A1248" s="37" t="s">
        <v>2064</v>
      </c>
      <c r="B1248" s="37"/>
      <c r="C1248" s="37" t="s">
        <v>634</v>
      </c>
      <c r="D1248" s="64">
        <v>13021</v>
      </c>
      <c r="E1248" s="38">
        <v>1.99</v>
      </c>
      <c r="F1248" s="39">
        <v>0.49749840000000001</v>
      </c>
      <c r="G1248" s="38">
        <v>1.4325549999999999E-2</v>
      </c>
      <c r="H1248" s="38">
        <v>0</v>
      </c>
      <c r="I1248" s="38">
        <v>0.38009760999999997</v>
      </c>
      <c r="J1248" s="38">
        <v>4.5425747000000004E-3</v>
      </c>
      <c r="K1248" s="38">
        <v>8.0351048999999994E-2</v>
      </c>
      <c r="L1248" s="40">
        <v>0.97681518369999998</v>
      </c>
    </row>
    <row r="1249" spans="1:12" hidden="1">
      <c r="A1249" s="41" t="s">
        <v>2065</v>
      </c>
      <c r="B1249" s="41"/>
      <c r="C1249" s="41" t="s">
        <v>784</v>
      </c>
      <c r="D1249" s="65">
        <v>20991</v>
      </c>
      <c r="E1249" s="42">
        <v>2.6</v>
      </c>
      <c r="F1249" s="43">
        <v>4.5528129000000002</v>
      </c>
      <c r="G1249" s="42">
        <v>1.4896054000000001</v>
      </c>
      <c r="H1249" s="42">
        <v>0.28987795999999999</v>
      </c>
      <c r="I1249" s="42">
        <v>0.19846865999999999</v>
      </c>
      <c r="J1249" s="42">
        <v>2.0039066000000001E-2</v>
      </c>
      <c r="K1249" s="42">
        <v>9.9403358999999997E-3</v>
      </c>
      <c r="L1249" s="44">
        <v>6.5607443218999997</v>
      </c>
    </row>
    <row r="1250" spans="1:12" hidden="1">
      <c r="A1250" s="37" t="s">
        <v>2066</v>
      </c>
      <c r="B1250" s="37"/>
      <c r="C1250" s="37" t="s">
        <v>784</v>
      </c>
      <c r="D1250" s="64">
        <v>20990</v>
      </c>
      <c r="E1250" s="38">
        <v>2.99</v>
      </c>
      <c r="F1250" s="39">
        <v>4.5528129000000002</v>
      </c>
      <c r="G1250" s="38">
        <v>1.4896054000000001</v>
      </c>
      <c r="H1250" s="38">
        <v>0.28987795999999999</v>
      </c>
      <c r="I1250" s="38">
        <v>0.38352982000000002</v>
      </c>
      <c r="J1250" s="38">
        <v>2.0039066000000001E-2</v>
      </c>
      <c r="K1250" s="38">
        <v>9.9403358999999997E-3</v>
      </c>
      <c r="L1250" s="40">
        <v>6.7458054818999997</v>
      </c>
    </row>
    <row r="1251" spans="1:12" hidden="1">
      <c r="A1251" s="41" t="s">
        <v>2067</v>
      </c>
      <c r="B1251" s="41"/>
      <c r="C1251" s="41" t="s">
        <v>784</v>
      </c>
      <c r="D1251" s="65">
        <v>20986</v>
      </c>
      <c r="E1251" s="42">
        <v>2.99</v>
      </c>
      <c r="F1251" s="43">
        <v>4.5528129000000002</v>
      </c>
      <c r="G1251" s="42">
        <v>1.4896054000000001</v>
      </c>
      <c r="H1251" s="42">
        <v>0.28987795999999999</v>
      </c>
      <c r="I1251" s="42">
        <v>0.38352982000000002</v>
      </c>
      <c r="J1251" s="42">
        <v>2.0039066000000001E-2</v>
      </c>
      <c r="K1251" s="42">
        <v>9.9403358999999997E-3</v>
      </c>
      <c r="L1251" s="44">
        <v>6.7458054818999997</v>
      </c>
    </row>
    <row r="1252" spans="1:12" hidden="1">
      <c r="A1252" s="37" t="s">
        <v>2068</v>
      </c>
      <c r="B1252" s="37"/>
      <c r="C1252" s="37" t="s">
        <v>668</v>
      </c>
      <c r="D1252" s="64">
        <v>23122</v>
      </c>
      <c r="E1252" s="38">
        <v>2.63</v>
      </c>
      <c r="F1252" s="39">
        <v>0.62894538</v>
      </c>
      <c r="G1252" s="38">
        <v>0.25178383999999998</v>
      </c>
      <c r="H1252" s="38">
        <v>0.28783752000000001</v>
      </c>
      <c r="I1252" s="38">
        <v>0.1149005</v>
      </c>
      <c r="J1252" s="38">
        <v>1.9437894000000001E-2</v>
      </c>
      <c r="K1252" s="38">
        <v>0</v>
      </c>
      <c r="L1252" s="40">
        <v>1.302905134</v>
      </c>
    </row>
    <row r="1253" spans="1:12" hidden="1">
      <c r="A1253" s="37" t="s">
        <v>2069</v>
      </c>
      <c r="B1253" s="37"/>
      <c r="C1253" s="37" t="s">
        <v>634</v>
      </c>
      <c r="D1253" s="64">
        <v>13549</v>
      </c>
      <c r="E1253" s="38">
        <v>3.12</v>
      </c>
      <c r="F1253" s="39">
        <v>0.16940304</v>
      </c>
      <c r="G1253" s="38">
        <v>0</v>
      </c>
      <c r="H1253" s="38">
        <v>0</v>
      </c>
      <c r="I1253" s="38">
        <v>0.27356253000000003</v>
      </c>
      <c r="J1253" s="38">
        <v>1.3134063E-2</v>
      </c>
      <c r="K1253" s="38">
        <v>8.0351048999999994E-2</v>
      </c>
      <c r="L1253" s="40">
        <v>0.53645068200000001</v>
      </c>
    </row>
    <row r="1254" spans="1:12" hidden="1">
      <c r="A1254" s="37" t="s">
        <v>2070</v>
      </c>
      <c r="B1254" s="37"/>
      <c r="C1254" s="37" t="s">
        <v>1064</v>
      </c>
      <c r="D1254" s="64">
        <v>3000</v>
      </c>
      <c r="E1254" s="38">
        <v>2.16</v>
      </c>
      <c r="F1254" s="39">
        <v>14.59686</v>
      </c>
      <c r="G1254" s="38">
        <v>0</v>
      </c>
      <c r="H1254" s="38">
        <v>0.14806368</v>
      </c>
      <c r="I1254" s="38">
        <v>0.10226987999999999</v>
      </c>
      <c r="J1254" s="38">
        <v>1.5486335E-2</v>
      </c>
      <c r="K1254" s="38">
        <v>0</v>
      </c>
      <c r="L1254" s="40">
        <v>14.862679894999999</v>
      </c>
    </row>
    <row r="1255" spans="1:12" hidden="1">
      <c r="A1255" s="37" t="s">
        <v>2071</v>
      </c>
      <c r="B1255" s="37"/>
      <c r="C1255" s="37" t="s">
        <v>1064</v>
      </c>
      <c r="D1255" s="64">
        <v>19013</v>
      </c>
      <c r="E1255" s="38">
        <v>2.1800000000000002</v>
      </c>
      <c r="F1255" s="39">
        <v>1.1070005000000001</v>
      </c>
      <c r="G1255" s="38">
        <v>1.123937E-2</v>
      </c>
      <c r="H1255" s="38">
        <v>0.14806368</v>
      </c>
      <c r="I1255" s="38">
        <v>0.20468131000000001</v>
      </c>
      <c r="J1255" s="38">
        <v>3.5969872999999999E-2</v>
      </c>
      <c r="K1255" s="38">
        <v>6.6736979E-3</v>
      </c>
      <c r="L1255" s="40">
        <v>1.5136284308999999</v>
      </c>
    </row>
    <row r="1256" spans="1:12" hidden="1">
      <c r="A1256" s="37" t="s">
        <v>2072</v>
      </c>
      <c r="B1256" s="37"/>
      <c r="C1256" s="37" t="s">
        <v>1064</v>
      </c>
      <c r="D1256" s="64">
        <v>3002</v>
      </c>
      <c r="E1256" s="38">
        <v>2.16</v>
      </c>
      <c r="F1256" s="39">
        <v>14.59686</v>
      </c>
      <c r="G1256" s="38">
        <v>0</v>
      </c>
      <c r="H1256" s="38">
        <v>0.14806368</v>
      </c>
      <c r="I1256" s="38">
        <v>0.10226987999999999</v>
      </c>
      <c r="J1256" s="38">
        <v>1.5486335E-2</v>
      </c>
      <c r="K1256" s="38">
        <v>0</v>
      </c>
      <c r="L1256" s="40">
        <v>14.862679894999999</v>
      </c>
    </row>
    <row r="1257" spans="1:12" hidden="1">
      <c r="A1257" s="37" t="s">
        <v>2073</v>
      </c>
      <c r="B1257" s="37"/>
      <c r="C1257" s="37" t="s">
        <v>1064</v>
      </c>
      <c r="D1257" s="64">
        <v>19014</v>
      </c>
      <c r="E1257" s="38">
        <v>2.1800000000000002</v>
      </c>
      <c r="F1257" s="39">
        <v>1.1070005000000001</v>
      </c>
      <c r="G1257" s="38">
        <v>1.123937E-2</v>
      </c>
      <c r="H1257" s="38">
        <v>0.14806368</v>
      </c>
      <c r="I1257" s="38">
        <v>0.20468131000000001</v>
      </c>
      <c r="J1257" s="38">
        <v>3.5969872999999999E-2</v>
      </c>
      <c r="K1257" s="38">
        <v>6.6736979E-3</v>
      </c>
      <c r="L1257" s="40">
        <v>1.5136284308999999</v>
      </c>
    </row>
    <row r="1258" spans="1:12" hidden="1">
      <c r="A1258" s="37" t="s">
        <v>2074</v>
      </c>
      <c r="B1258" s="37"/>
      <c r="C1258" s="37" t="s">
        <v>2075</v>
      </c>
      <c r="D1258" s="64">
        <v>19026</v>
      </c>
      <c r="E1258" s="38">
        <v>2.7</v>
      </c>
      <c r="F1258" s="39">
        <v>2.1254409999999999</v>
      </c>
      <c r="G1258" s="38">
        <v>4.7625288000000002E-2</v>
      </c>
      <c r="H1258" s="38">
        <v>0.17146792</v>
      </c>
      <c r="I1258" s="38">
        <v>0.14749706000000001</v>
      </c>
      <c r="J1258" s="38">
        <v>1.4483905E-2</v>
      </c>
      <c r="K1258" s="38">
        <v>0</v>
      </c>
      <c r="L1258" s="40">
        <v>2.5065151729999999</v>
      </c>
    </row>
    <row r="1259" spans="1:12" hidden="1">
      <c r="A1259" s="37" t="s">
        <v>2076</v>
      </c>
      <c r="B1259" s="37"/>
      <c r="C1259" s="37" t="s">
        <v>2075</v>
      </c>
      <c r="D1259" s="64">
        <v>19027</v>
      </c>
      <c r="E1259" s="38">
        <v>3.13</v>
      </c>
      <c r="F1259" s="39">
        <v>2.1254409999999999</v>
      </c>
      <c r="G1259" s="38">
        <v>4.7625288000000002E-2</v>
      </c>
      <c r="H1259" s="38">
        <v>0.17146792</v>
      </c>
      <c r="I1259" s="38">
        <v>0.14749706000000001</v>
      </c>
      <c r="J1259" s="38">
        <v>1.4483905E-2</v>
      </c>
      <c r="K1259" s="38">
        <v>0</v>
      </c>
      <c r="L1259" s="40">
        <v>2.5065151729999999</v>
      </c>
    </row>
    <row r="1260" spans="1:12" hidden="1">
      <c r="A1260" s="41" t="s">
        <v>2077</v>
      </c>
      <c r="B1260" s="41"/>
      <c r="C1260" s="41" t="s">
        <v>2075</v>
      </c>
      <c r="D1260" s="65">
        <v>19250</v>
      </c>
      <c r="E1260" s="42">
        <v>2.65</v>
      </c>
      <c r="F1260" s="43">
        <v>1.6967411999999999</v>
      </c>
      <c r="G1260" s="42">
        <v>0</v>
      </c>
      <c r="H1260" s="42">
        <v>0.14806368</v>
      </c>
      <c r="I1260" s="42">
        <v>0.20468131000000001</v>
      </c>
      <c r="J1260" s="42">
        <v>1.5701413000000001E-2</v>
      </c>
      <c r="K1260" s="42">
        <v>0</v>
      </c>
      <c r="L1260" s="44">
        <v>2.0651876029999996</v>
      </c>
    </row>
    <row r="1261" spans="1:12" hidden="1">
      <c r="A1261" s="37" t="s">
        <v>2078</v>
      </c>
      <c r="B1261" s="37"/>
      <c r="C1261" s="37" t="s">
        <v>2075</v>
      </c>
      <c r="D1261" s="64">
        <v>19201</v>
      </c>
      <c r="E1261" s="38">
        <v>2.99</v>
      </c>
      <c r="F1261" s="39">
        <v>1.1156328</v>
      </c>
      <c r="G1261" s="38">
        <v>0</v>
      </c>
      <c r="H1261" s="38">
        <v>0.14806368</v>
      </c>
      <c r="I1261" s="38">
        <v>0.19315415999999999</v>
      </c>
      <c r="J1261" s="38">
        <v>1.4351319E-2</v>
      </c>
      <c r="K1261" s="38">
        <v>0</v>
      </c>
      <c r="L1261" s="40">
        <v>1.4712019589999998</v>
      </c>
    </row>
    <row r="1262" spans="1:12" hidden="1">
      <c r="A1262" s="37" t="s">
        <v>2079</v>
      </c>
      <c r="B1262" s="37"/>
      <c r="C1262" s="37" t="s">
        <v>2075</v>
      </c>
      <c r="D1262" s="64">
        <v>19202</v>
      </c>
      <c r="E1262" s="38">
        <v>2.99</v>
      </c>
      <c r="F1262" s="39">
        <v>1.1156328</v>
      </c>
      <c r="G1262" s="38">
        <v>0</v>
      </c>
      <c r="H1262" s="38">
        <v>0.14806368</v>
      </c>
      <c r="I1262" s="38">
        <v>0.19315415999999999</v>
      </c>
      <c r="J1262" s="38">
        <v>1.4351319E-2</v>
      </c>
      <c r="K1262" s="38">
        <v>0</v>
      </c>
      <c r="L1262" s="40">
        <v>1.4712019589999998</v>
      </c>
    </row>
    <row r="1263" spans="1:12" hidden="1">
      <c r="A1263" s="37" t="s">
        <v>2080</v>
      </c>
      <c r="B1263" s="37"/>
      <c r="C1263" s="37" t="s">
        <v>2075</v>
      </c>
      <c r="D1263" s="64">
        <v>19200</v>
      </c>
      <c r="E1263" s="38">
        <v>2.99</v>
      </c>
      <c r="F1263" s="39">
        <v>1.1156328</v>
      </c>
      <c r="G1263" s="38">
        <v>0</v>
      </c>
      <c r="H1263" s="38">
        <v>0.14806368</v>
      </c>
      <c r="I1263" s="38">
        <v>0.19315415999999999</v>
      </c>
      <c r="J1263" s="38">
        <v>1.4351319E-2</v>
      </c>
      <c r="K1263" s="38">
        <v>0</v>
      </c>
      <c r="L1263" s="40">
        <v>1.4712019589999998</v>
      </c>
    </row>
    <row r="1264" spans="1:12" hidden="1">
      <c r="A1264" s="37" t="s">
        <v>2081</v>
      </c>
      <c r="B1264" s="37"/>
      <c r="C1264" s="37" t="s">
        <v>650</v>
      </c>
      <c r="D1264" s="64">
        <v>18041</v>
      </c>
      <c r="E1264" s="38">
        <v>3.33</v>
      </c>
      <c r="F1264" s="39">
        <v>6.9273255000000006E-2</v>
      </c>
      <c r="G1264" s="38">
        <v>8.8094500000000006E-2</v>
      </c>
      <c r="H1264" s="38">
        <v>9.9850469999999997E-2</v>
      </c>
      <c r="I1264" s="38">
        <v>0.20939352</v>
      </c>
      <c r="J1264" s="38">
        <v>3.3182063999999997E-2</v>
      </c>
      <c r="K1264" s="38">
        <v>6.6736979E-3</v>
      </c>
      <c r="L1264" s="40">
        <v>0.50646750690000009</v>
      </c>
    </row>
    <row r="1265" spans="1:12" hidden="1">
      <c r="A1265" s="37" t="s">
        <v>2082</v>
      </c>
      <c r="B1265" s="37"/>
      <c r="C1265" s="37" t="s">
        <v>1064</v>
      </c>
      <c r="D1265" s="64">
        <v>19012</v>
      </c>
      <c r="E1265" s="38">
        <v>2.42</v>
      </c>
      <c r="F1265" s="39">
        <v>1.1070005000000001</v>
      </c>
      <c r="G1265" s="38">
        <v>1.123937E-2</v>
      </c>
      <c r="H1265" s="38">
        <v>0.14806368</v>
      </c>
      <c r="I1265" s="38">
        <v>0.12321562</v>
      </c>
      <c r="J1265" s="38">
        <v>1.5486335E-2</v>
      </c>
      <c r="K1265" s="38">
        <v>0</v>
      </c>
      <c r="L1265" s="40">
        <v>1.4050055050000001</v>
      </c>
    </row>
    <row r="1266" spans="1:12" hidden="1">
      <c r="A1266" s="37" t="s">
        <v>2083</v>
      </c>
      <c r="B1266" s="37"/>
      <c r="C1266" s="37" t="s">
        <v>2075</v>
      </c>
      <c r="D1266" s="64">
        <v>19060</v>
      </c>
      <c r="E1266" s="38">
        <v>2.4700000000000002</v>
      </c>
      <c r="F1266" s="39">
        <v>0.92988042000000004</v>
      </c>
      <c r="G1266" s="38">
        <v>1.123937E-2</v>
      </c>
      <c r="H1266" s="38">
        <v>0.14806368</v>
      </c>
      <c r="I1266" s="38">
        <v>0.20132998999999999</v>
      </c>
      <c r="J1266" s="38">
        <v>1.5701413000000001E-2</v>
      </c>
      <c r="K1266" s="38">
        <v>0</v>
      </c>
      <c r="L1266" s="40">
        <v>1.3062148730000001</v>
      </c>
    </row>
    <row r="1267" spans="1:12" hidden="1">
      <c r="A1267" s="37" t="s">
        <v>2084</v>
      </c>
      <c r="B1267" s="37"/>
      <c r="C1267" s="37" t="s">
        <v>2075</v>
      </c>
      <c r="D1267" s="64">
        <v>19042</v>
      </c>
      <c r="E1267" s="38">
        <v>2.0499999999999998</v>
      </c>
      <c r="F1267" s="39">
        <v>0.92988042000000004</v>
      </c>
      <c r="G1267" s="38">
        <v>1.123937E-2</v>
      </c>
      <c r="H1267" s="38">
        <v>0.14806368</v>
      </c>
      <c r="I1267" s="38">
        <v>0.20132998999999999</v>
      </c>
      <c r="J1267" s="38">
        <v>1.5701413000000001E-2</v>
      </c>
      <c r="K1267" s="38">
        <v>0</v>
      </c>
      <c r="L1267" s="40">
        <v>1.3062148730000001</v>
      </c>
    </row>
    <row r="1268" spans="1:12" hidden="1">
      <c r="A1268" s="37" t="s">
        <v>2085</v>
      </c>
      <c r="B1268" s="37"/>
      <c r="C1268" s="37" t="s">
        <v>2075</v>
      </c>
      <c r="D1268" s="64">
        <v>19041</v>
      </c>
      <c r="E1268" s="38">
        <v>2.4700000000000002</v>
      </c>
      <c r="F1268" s="39">
        <v>0.92988042000000004</v>
      </c>
      <c r="G1268" s="38">
        <v>1.123937E-2</v>
      </c>
      <c r="H1268" s="38">
        <v>0.14806368</v>
      </c>
      <c r="I1268" s="38">
        <v>0.20132998999999999</v>
      </c>
      <c r="J1268" s="38">
        <v>1.5701413000000001E-2</v>
      </c>
      <c r="K1268" s="38">
        <v>0</v>
      </c>
      <c r="L1268" s="40">
        <v>1.3062148730000001</v>
      </c>
    </row>
    <row r="1269" spans="1:12" hidden="1">
      <c r="A1269" s="37" t="s">
        <v>2086</v>
      </c>
      <c r="B1269" s="37"/>
      <c r="C1269" s="37" t="s">
        <v>2075</v>
      </c>
      <c r="D1269" s="64">
        <v>19037</v>
      </c>
      <c r="E1269" s="38">
        <v>2.4700000000000002</v>
      </c>
      <c r="F1269" s="39">
        <v>0.92988042000000004</v>
      </c>
      <c r="G1269" s="38">
        <v>1.123937E-2</v>
      </c>
      <c r="H1269" s="38">
        <v>0.14806368</v>
      </c>
      <c r="I1269" s="38">
        <v>0.20132998999999999</v>
      </c>
      <c r="J1269" s="38">
        <v>1.5701413000000001E-2</v>
      </c>
      <c r="K1269" s="38">
        <v>0</v>
      </c>
      <c r="L1269" s="40">
        <v>1.3062148730000001</v>
      </c>
    </row>
    <row r="1270" spans="1:12" hidden="1">
      <c r="A1270" s="37" t="s">
        <v>2087</v>
      </c>
      <c r="B1270" s="37"/>
      <c r="C1270" s="37" t="s">
        <v>2075</v>
      </c>
      <c r="D1270" s="64">
        <v>19051</v>
      </c>
      <c r="E1270" s="38">
        <v>2.0499999999999998</v>
      </c>
      <c r="F1270" s="39">
        <v>0.80811036000000003</v>
      </c>
      <c r="G1270" s="38">
        <v>1.123937E-2</v>
      </c>
      <c r="H1270" s="38">
        <v>0.14806368</v>
      </c>
      <c r="I1270" s="38">
        <v>0.19902596</v>
      </c>
      <c r="J1270" s="38">
        <v>1.5701413000000001E-2</v>
      </c>
      <c r="K1270" s="38">
        <v>0</v>
      </c>
      <c r="L1270" s="40">
        <v>1.1821407829999999</v>
      </c>
    </row>
    <row r="1271" spans="1:12" hidden="1">
      <c r="A1271" s="37" t="s">
        <v>2088</v>
      </c>
      <c r="B1271" s="37"/>
      <c r="C1271" s="37" t="s">
        <v>2075</v>
      </c>
      <c r="D1271" s="64">
        <v>19050</v>
      </c>
      <c r="E1271" s="38">
        <v>2.4700000000000002</v>
      </c>
      <c r="F1271" s="39">
        <v>0.80811036000000003</v>
      </c>
      <c r="G1271" s="38">
        <v>1.123937E-2</v>
      </c>
      <c r="H1271" s="38">
        <v>0.14806368</v>
      </c>
      <c r="I1271" s="38">
        <v>0.19902596</v>
      </c>
      <c r="J1271" s="38">
        <v>1.5701413000000001E-2</v>
      </c>
      <c r="K1271" s="38">
        <v>0</v>
      </c>
      <c r="L1271" s="40">
        <v>1.1821407829999999</v>
      </c>
    </row>
    <row r="1272" spans="1:12" hidden="1">
      <c r="A1272" s="41" t="s">
        <v>2089</v>
      </c>
      <c r="B1272" s="41"/>
      <c r="C1272" s="41" t="s">
        <v>1085</v>
      </c>
      <c r="D1272" s="65">
        <v>19678</v>
      </c>
      <c r="E1272" s="42">
        <v>2.46</v>
      </c>
      <c r="F1272" s="43">
        <v>1.1070005000000001</v>
      </c>
      <c r="G1272" s="42">
        <v>1.123937E-2</v>
      </c>
      <c r="H1272" s="42">
        <v>0.17665294000000001</v>
      </c>
      <c r="I1272" s="42">
        <v>0.20468131000000001</v>
      </c>
      <c r="J1272" s="42">
        <v>3.5969872999999999E-2</v>
      </c>
      <c r="K1272" s="42">
        <v>6.6736979E-3</v>
      </c>
      <c r="L1272" s="44">
        <v>1.5422176909</v>
      </c>
    </row>
    <row r="1273" spans="1:12" hidden="1">
      <c r="A1273" s="37" t="s">
        <v>2090</v>
      </c>
      <c r="B1273" s="37"/>
      <c r="C1273" s="37" t="s">
        <v>2075</v>
      </c>
      <c r="D1273" s="64">
        <v>19044</v>
      </c>
      <c r="E1273" s="38">
        <v>2.29</v>
      </c>
      <c r="F1273" s="39">
        <v>14.59686</v>
      </c>
      <c r="G1273" s="38">
        <v>0</v>
      </c>
      <c r="H1273" s="38">
        <v>9.9351732999999998E-2</v>
      </c>
      <c r="I1273" s="38">
        <v>0.10728123000000001</v>
      </c>
      <c r="J1273" s="38">
        <v>1.5486253E-2</v>
      </c>
      <c r="K1273" s="38">
        <v>0</v>
      </c>
      <c r="L1273" s="40">
        <v>14.818979216000001</v>
      </c>
    </row>
    <row r="1274" spans="1:12" hidden="1">
      <c r="A1274" s="37" t="s">
        <v>2091</v>
      </c>
      <c r="B1274" s="37"/>
      <c r="C1274" s="37" t="s">
        <v>2075</v>
      </c>
      <c r="D1274" s="64">
        <v>19054</v>
      </c>
      <c r="E1274" s="38">
        <v>1.86</v>
      </c>
      <c r="F1274" s="39">
        <v>14.59686</v>
      </c>
      <c r="G1274" s="38">
        <v>0</v>
      </c>
      <c r="H1274" s="38">
        <v>9.9351732999999998E-2</v>
      </c>
      <c r="I1274" s="38">
        <v>0.10728123000000001</v>
      </c>
      <c r="J1274" s="38">
        <v>1.5486253E-2</v>
      </c>
      <c r="K1274" s="38">
        <v>0</v>
      </c>
      <c r="L1274" s="40">
        <v>14.818979216000001</v>
      </c>
    </row>
    <row r="1275" spans="1:12" hidden="1">
      <c r="A1275" s="37" t="s">
        <v>2092</v>
      </c>
      <c r="B1275" s="37"/>
      <c r="C1275" s="37" t="s">
        <v>2075</v>
      </c>
      <c r="D1275" s="64">
        <v>19021</v>
      </c>
      <c r="E1275" s="38">
        <v>2.29</v>
      </c>
      <c r="F1275" s="39">
        <v>14.59686</v>
      </c>
      <c r="G1275" s="38">
        <v>0</v>
      </c>
      <c r="H1275" s="38">
        <v>9.9351732999999998E-2</v>
      </c>
      <c r="I1275" s="38">
        <v>0.10728123000000001</v>
      </c>
      <c r="J1275" s="38">
        <v>1.5486253E-2</v>
      </c>
      <c r="K1275" s="38">
        <v>0</v>
      </c>
      <c r="L1275" s="40">
        <v>14.818979216000001</v>
      </c>
    </row>
    <row r="1276" spans="1:12" hidden="1">
      <c r="A1276" s="37" t="s">
        <v>2093</v>
      </c>
      <c r="B1276" s="37"/>
      <c r="C1276" s="37" t="s">
        <v>2075</v>
      </c>
      <c r="D1276" s="64">
        <v>19024</v>
      </c>
      <c r="E1276" s="38">
        <v>2.0299999999999998</v>
      </c>
      <c r="F1276" s="39">
        <v>1.1070005000000001</v>
      </c>
      <c r="G1276" s="38">
        <v>1.123937E-2</v>
      </c>
      <c r="H1276" s="38">
        <v>0.14806368</v>
      </c>
      <c r="I1276" s="38">
        <v>0.20468131000000001</v>
      </c>
      <c r="J1276" s="38">
        <v>1.5701413000000001E-2</v>
      </c>
      <c r="K1276" s="38">
        <v>0</v>
      </c>
      <c r="L1276" s="40">
        <v>1.4866862729999999</v>
      </c>
    </row>
    <row r="1277" spans="1:12" hidden="1">
      <c r="A1277" s="37" t="s">
        <v>2094</v>
      </c>
      <c r="B1277" s="37"/>
      <c r="C1277" s="37" t="s">
        <v>2075</v>
      </c>
      <c r="D1277" s="64">
        <v>19023</v>
      </c>
      <c r="E1277" s="38">
        <v>2.46</v>
      </c>
      <c r="F1277" s="39">
        <v>1.1070005000000001</v>
      </c>
      <c r="G1277" s="38">
        <v>1.123937E-2</v>
      </c>
      <c r="H1277" s="38">
        <v>0.14806368</v>
      </c>
      <c r="I1277" s="38">
        <v>0.20468131000000001</v>
      </c>
      <c r="J1277" s="38">
        <v>1.5701413000000001E-2</v>
      </c>
      <c r="K1277" s="38">
        <v>0</v>
      </c>
      <c r="L1277" s="40">
        <v>1.4866862729999999</v>
      </c>
    </row>
    <row r="1278" spans="1:12" hidden="1">
      <c r="A1278" s="37" t="s">
        <v>2095</v>
      </c>
      <c r="B1278" s="37"/>
      <c r="C1278" s="37" t="s">
        <v>1085</v>
      </c>
      <c r="D1278" s="64">
        <v>19805</v>
      </c>
      <c r="E1278" s="38">
        <v>1.6</v>
      </c>
      <c r="F1278" s="39">
        <v>1.1070005000000001</v>
      </c>
      <c r="G1278" s="38">
        <v>0</v>
      </c>
      <c r="H1278" s="38">
        <v>0.17665294000000001</v>
      </c>
      <c r="I1278" s="38">
        <v>0.20468131000000001</v>
      </c>
      <c r="J1278" s="38">
        <v>3.5969872999999999E-2</v>
      </c>
      <c r="K1278" s="38">
        <v>6.6736979E-3</v>
      </c>
      <c r="L1278" s="40">
        <v>1.5309783209000001</v>
      </c>
    </row>
    <row r="1279" spans="1:12" hidden="1">
      <c r="A1279" s="37" t="s">
        <v>2096</v>
      </c>
      <c r="B1279" s="37"/>
      <c r="C1279" s="37" t="s">
        <v>1085</v>
      </c>
      <c r="D1279" s="64">
        <v>19801</v>
      </c>
      <c r="E1279" s="38">
        <v>2.9</v>
      </c>
      <c r="F1279" s="39">
        <v>0.92988042000000004</v>
      </c>
      <c r="G1279" s="38">
        <v>1.123937E-2</v>
      </c>
      <c r="H1279" s="38">
        <v>0.17665294000000001</v>
      </c>
      <c r="I1279" s="38">
        <v>0.20132998999999999</v>
      </c>
      <c r="J1279" s="38">
        <v>3.5969872999999999E-2</v>
      </c>
      <c r="K1279" s="38">
        <v>6.6736979E-3</v>
      </c>
      <c r="L1279" s="40">
        <v>1.3617462909</v>
      </c>
    </row>
    <row r="1280" spans="1:12" hidden="1">
      <c r="A1280" s="37" t="s">
        <v>2097</v>
      </c>
      <c r="B1280" s="37"/>
      <c r="C1280" s="37" t="s">
        <v>1085</v>
      </c>
      <c r="D1280" s="64">
        <v>19539</v>
      </c>
      <c r="E1280" s="38">
        <v>2.34</v>
      </c>
      <c r="F1280" s="39">
        <v>0.85748407000000004</v>
      </c>
      <c r="G1280" s="38">
        <v>0.16806826</v>
      </c>
      <c r="H1280" s="38">
        <v>0.17665294000000001</v>
      </c>
      <c r="I1280" s="38">
        <v>0.20118551000000001</v>
      </c>
      <c r="J1280" s="38">
        <v>3.5969872999999999E-2</v>
      </c>
      <c r="K1280" s="38">
        <v>6.6736979E-3</v>
      </c>
      <c r="L1280" s="40">
        <v>1.4460343509</v>
      </c>
    </row>
    <row r="1281" spans="1:12" hidden="1">
      <c r="A1281" s="37" t="s">
        <v>2098</v>
      </c>
      <c r="B1281" s="37"/>
      <c r="C1281" s="37" t="s">
        <v>1085</v>
      </c>
      <c r="D1281" s="64">
        <v>19542</v>
      </c>
      <c r="E1281" s="38">
        <v>3.61</v>
      </c>
      <c r="F1281" s="39">
        <v>1.5208069</v>
      </c>
      <c r="G1281" s="38">
        <v>0.14843828000000001</v>
      </c>
      <c r="H1281" s="38">
        <v>0.17665294000000001</v>
      </c>
      <c r="I1281" s="38">
        <v>0.23591028999999999</v>
      </c>
      <c r="J1281" s="38">
        <v>3.5969872999999999E-2</v>
      </c>
      <c r="K1281" s="38">
        <v>6.6736979E-3</v>
      </c>
      <c r="L1281" s="40">
        <v>2.1244519809</v>
      </c>
    </row>
    <row r="1282" spans="1:12" hidden="1">
      <c r="A1282" s="37" t="s">
        <v>2099</v>
      </c>
      <c r="B1282" s="37"/>
      <c r="C1282" s="37" t="s">
        <v>1085</v>
      </c>
      <c r="D1282" s="64">
        <v>19546</v>
      </c>
      <c r="E1282" s="38">
        <v>2.48</v>
      </c>
      <c r="F1282" s="39">
        <v>1.5332604999999999</v>
      </c>
      <c r="G1282" s="38">
        <v>0.14982271999999999</v>
      </c>
      <c r="H1282" s="38">
        <v>0.17665294000000001</v>
      </c>
      <c r="I1282" s="38">
        <v>0.20131239000000001</v>
      </c>
      <c r="J1282" s="38">
        <v>3.5969872999999999E-2</v>
      </c>
      <c r="K1282" s="38">
        <v>6.6736979E-3</v>
      </c>
      <c r="L1282" s="40">
        <v>2.1036921208999999</v>
      </c>
    </row>
    <row r="1283" spans="1:12" hidden="1">
      <c r="A1283" s="37" t="s">
        <v>2100</v>
      </c>
      <c r="B1283" s="37"/>
      <c r="C1283" s="37" t="s">
        <v>1085</v>
      </c>
      <c r="D1283" s="64">
        <v>19683</v>
      </c>
      <c r="E1283" s="38">
        <v>2.48</v>
      </c>
      <c r="F1283" s="39">
        <v>0.92029273</v>
      </c>
      <c r="G1283" s="38">
        <v>0.16201755000000001</v>
      </c>
      <c r="H1283" s="38">
        <v>0.18031662000000001</v>
      </c>
      <c r="I1283" s="38">
        <v>0.20193725000000001</v>
      </c>
      <c r="J1283" s="38">
        <v>3.5969872999999999E-2</v>
      </c>
      <c r="K1283" s="38">
        <v>6.6736979E-3</v>
      </c>
      <c r="L1283" s="40">
        <v>1.5072077208999999</v>
      </c>
    </row>
    <row r="1284" spans="1:12" hidden="1">
      <c r="A1284" s="37" t="s">
        <v>2101</v>
      </c>
      <c r="B1284" s="37"/>
      <c r="C1284" s="37" t="s">
        <v>1085</v>
      </c>
      <c r="D1284" s="64">
        <v>19679</v>
      </c>
      <c r="E1284" s="38">
        <v>2.4900000000000002</v>
      </c>
      <c r="F1284" s="39">
        <v>1.0673762</v>
      </c>
      <c r="G1284" s="38">
        <v>0.18245606</v>
      </c>
      <c r="H1284" s="38">
        <v>0.18031662000000001</v>
      </c>
      <c r="I1284" s="38">
        <v>0.20276153</v>
      </c>
      <c r="J1284" s="38">
        <v>3.5969872999999999E-2</v>
      </c>
      <c r="K1284" s="38">
        <v>6.6736979E-3</v>
      </c>
      <c r="L1284" s="40">
        <v>1.6755539809</v>
      </c>
    </row>
    <row r="1285" spans="1:12" hidden="1">
      <c r="A1285" s="37" t="s">
        <v>2102</v>
      </c>
      <c r="B1285" s="37"/>
      <c r="C1285" s="37" t="s">
        <v>1085</v>
      </c>
      <c r="D1285" s="64">
        <v>19680</v>
      </c>
      <c r="E1285" s="38">
        <v>2.04</v>
      </c>
      <c r="F1285" s="39">
        <v>0.92029273</v>
      </c>
      <c r="G1285" s="38">
        <v>0.16201755000000001</v>
      </c>
      <c r="H1285" s="38">
        <v>0.18031662000000001</v>
      </c>
      <c r="I1285" s="38">
        <v>0.20193725000000001</v>
      </c>
      <c r="J1285" s="38">
        <v>3.5969872999999999E-2</v>
      </c>
      <c r="K1285" s="38">
        <v>6.6736979E-3</v>
      </c>
      <c r="L1285" s="40">
        <v>1.5072077208999999</v>
      </c>
    </row>
    <row r="1286" spans="1:12" hidden="1">
      <c r="A1286" s="41" t="s">
        <v>2103</v>
      </c>
      <c r="B1286" s="41"/>
      <c r="C1286" s="41" t="s">
        <v>784</v>
      </c>
      <c r="D1286" s="65">
        <v>20985</v>
      </c>
      <c r="E1286" s="42">
        <v>2.99</v>
      </c>
      <c r="F1286" s="43">
        <v>4.5528129000000002</v>
      </c>
      <c r="G1286" s="42">
        <v>1.4896054000000001</v>
      </c>
      <c r="H1286" s="42">
        <v>0.28987795999999999</v>
      </c>
      <c r="I1286" s="42">
        <v>0.19846865999999999</v>
      </c>
      <c r="J1286" s="42">
        <v>2.0039066000000001E-2</v>
      </c>
      <c r="K1286" s="42">
        <v>9.9403358999999997E-3</v>
      </c>
      <c r="L1286" s="44">
        <v>6.5607443218999997</v>
      </c>
    </row>
    <row r="1287" spans="1:12" hidden="1">
      <c r="A1287" s="37" t="s">
        <v>2104</v>
      </c>
      <c r="B1287" s="37"/>
      <c r="C1287" s="37" t="s">
        <v>842</v>
      </c>
      <c r="D1287" s="64">
        <v>20200</v>
      </c>
      <c r="E1287" s="38">
        <v>2.3199999999999998</v>
      </c>
      <c r="F1287" s="39">
        <v>0.25994679999999998</v>
      </c>
      <c r="G1287" s="38">
        <v>0</v>
      </c>
      <c r="H1287" s="38">
        <v>0</v>
      </c>
      <c r="I1287" s="38">
        <v>0.36475004999999999</v>
      </c>
      <c r="J1287" s="38">
        <v>6.1814329000000001E-2</v>
      </c>
      <c r="K1287" s="38">
        <v>0.21426945999999999</v>
      </c>
      <c r="L1287" s="40">
        <v>0.90078063900000005</v>
      </c>
    </row>
    <row r="1288" spans="1:12" hidden="1">
      <c r="A1288" s="37" t="s">
        <v>2105</v>
      </c>
      <c r="B1288" s="37"/>
      <c r="C1288" s="37" t="s">
        <v>842</v>
      </c>
      <c r="D1288" s="64">
        <v>20171</v>
      </c>
      <c r="E1288" s="38">
        <v>2.4900000000000002</v>
      </c>
      <c r="F1288" s="39">
        <v>0.30023238000000002</v>
      </c>
      <c r="G1288" s="38">
        <v>0</v>
      </c>
      <c r="H1288" s="38">
        <v>0</v>
      </c>
      <c r="I1288" s="38">
        <v>0.36475004999999999</v>
      </c>
      <c r="J1288" s="38">
        <v>6.1814329000000001E-2</v>
      </c>
      <c r="K1288" s="38">
        <v>0.21426945999999999</v>
      </c>
      <c r="L1288" s="40">
        <v>0.94106621899999998</v>
      </c>
    </row>
    <row r="1289" spans="1:12" hidden="1">
      <c r="A1289" s="37" t="s">
        <v>2106</v>
      </c>
      <c r="B1289" s="37"/>
      <c r="C1289" s="37" t="s">
        <v>842</v>
      </c>
      <c r="D1289" s="64">
        <v>20031</v>
      </c>
      <c r="E1289" s="38">
        <v>2.2599999999999998</v>
      </c>
      <c r="F1289" s="39">
        <v>0.30023238000000002</v>
      </c>
      <c r="G1289" s="38">
        <v>0</v>
      </c>
      <c r="H1289" s="38">
        <v>0</v>
      </c>
      <c r="I1289" s="38">
        <v>0.36475004999999999</v>
      </c>
      <c r="J1289" s="38">
        <v>6.1814329000000001E-2</v>
      </c>
      <c r="K1289" s="38">
        <v>0.21426945999999999</v>
      </c>
      <c r="L1289" s="40">
        <v>0.94106621899999998</v>
      </c>
    </row>
    <row r="1290" spans="1:12" hidden="1">
      <c r="A1290" s="37" t="s">
        <v>2107</v>
      </c>
      <c r="B1290" s="37"/>
      <c r="C1290" s="37" t="s">
        <v>1183</v>
      </c>
      <c r="D1290" s="64">
        <v>10024</v>
      </c>
      <c r="E1290" s="38">
        <v>3.03</v>
      </c>
      <c r="F1290" s="39">
        <v>15.162865999999999</v>
      </c>
      <c r="G1290" s="38">
        <v>0.11882025</v>
      </c>
      <c r="H1290" s="38">
        <v>0.61179726999999995</v>
      </c>
      <c r="I1290" s="38">
        <v>7.7886414999999998</v>
      </c>
      <c r="J1290" s="38">
        <v>8.3008606999999998E-2</v>
      </c>
      <c r="K1290" s="38">
        <v>0.40765779000000002</v>
      </c>
      <c r="L1290" s="40">
        <v>24.172791416999999</v>
      </c>
    </row>
    <row r="1291" spans="1:12" hidden="1">
      <c r="A1291" s="37" t="s">
        <v>2108</v>
      </c>
      <c r="B1291" s="37"/>
      <c r="C1291" s="37" t="s">
        <v>640</v>
      </c>
      <c r="D1291" s="64">
        <v>12040</v>
      </c>
      <c r="E1291" s="38">
        <v>2.2400000000000002</v>
      </c>
      <c r="F1291" s="39">
        <v>4.1664842000000002</v>
      </c>
      <c r="G1291" s="38">
        <v>0.27542630000000001</v>
      </c>
      <c r="H1291" s="38">
        <v>0.26233268999999998</v>
      </c>
      <c r="I1291" s="38">
        <v>0.21100323000000001</v>
      </c>
      <c r="J1291" s="38">
        <v>3.5969872999999999E-2</v>
      </c>
      <c r="K1291" s="38">
        <v>6.6736979E-3</v>
      </c>
      <c r="L1291" s="40">
        <v>4.9578899909000009</v>
      </c>
    </row>
    <row r="1292" spans="1:12" hidden="1">
      <c r="A1292" s="41" t="s">
        <v>2109</v>
      </c>
      <c r="B1292" s="41"/>
      <c r="C1292" s="41" t="s">
        <v>788</v>
      </c>
      <c r="D1292" s="65">
        <v>40202</v>
      </c>
      <c r="E1292" s="42">
        <v>2.21</v>
      </c>
      <c r="F1292" s="43">
        <v>20.927841000000001</v>
      </c>
      <c r="G1292" s="42">
        <v>5.2136218999999998E-2</v>
      </c>
      <c r="H1292" s="42">
        <v>0.27530876999999998</v>
      </c>
      <c r="I1292" s="42">
        <v>0.20001251</v>
      </c>
      <c r="J1292" s="42">
        <v>3.7353873000000003E-2</v>
      </c>
      <c r="K1292" s="42">
        <v>6.6736979E-3</v>
      </c>
      <c r="L1292" s="44">
        <v>21.4993260699</v>
      </c>
    </row>
    <row r="1293" spans="1:12" hidden="1">
      <c r="A1293" s="41" t="s">
        <v>2110</v>
      </c>
      <c r="B1293" s="41"/>
      <c r="C1293" s="41" t="s">
        <v>786</v>
      </c>
      <c r="D1293" s="65">
        <v>40203</v>
      </c>
      <c r="E1293" s="42">
        <v>2.2400000000000002</v>
      </c>
      <c r="F1293" s="43">
        <v>28.685955</v>
      </c>
      <c r="G1293" s="42">
        <v>7.1463521000000002E-2</v>
      </c>
      <c r="H1293" s="42">
        <v>0.37736787999999999</v>
      </c>
      <c r="I1293" s="42">
        <v>0.27415869999999998</v>
      </c>
      <c r="J1293" s="42">
        <v>5.1201244999999999E-2</v>
      </c>
      <c r="K1293" s="42">
        <v>9.5038267999999995E-2</v>
      </c>
      <c r="L1293" s="44">
        <v>29.555184614000002</v>
      </c>
    </row>
    <row r="1294" spans="1:12" hidden="1">
      <c r="A1294" s="41" t="s">
        <v>2111</v>
      </c>
      <c r="B1294" s="41"/>
      <c r="C1294" s="41" t="s">
        <v>788</v>
      </c>
      <c r="D1294" s="65">
        <v>40205</v>
      </c>
      <c r="E1294" s="42">
        <v>2.4700000000000002</v>
      </c>
      <c r="F1294" s="43">
        <v>1.4372448</v>
      </c>
      <c r="G1294" s="42">
        <v>0.10353969</v>
      </c>
      <c r="H1294" s="42">
        <v>0.27530876999999998</v>
      </c>
      <c r="I1294" s="42">
        <v>0.19284406000000001</v>
      </c>
      <c r="J1294" s="42">
        <v>3.7353873000000003E-2</v>
      </c>
      <c r="K1294" s="42">
        <v>6.6736979E-3</v>
      </c>
      <c r="L1294" s="44">
        <v>2.0529648909000002</v>
      </c>
    </row>
    <row r="1295" spans="1:12" hidden="1">
      <c r="A1295" s="41" t="s">
        <v>2112</v>
      </c>
      <c r="B1295" s="41"/>
      <c r="C1295" s="41" t="s">
        <v>788</v>
      </c>
      <c r="D1295" s="65">
        <v>40204</v>
      </c>
      <c r="E1295" s="42">
        <v>2.63</v>
      </c>
      <c r="F1295" s="43">
        <v>17.171357</v>
      </c>
      <c r="G1295" s="42">
        <v>5.7167698000000003E-2</v>
      </c>
      <c r="H1295" s="42">
        <v>0.27530876999999998</v>
      </c>
      <c r="I1295" s="42">
        <v>0.20135906000000001</v>
      </c>
      <c r="J1295" s="42">
        <v>3.7353873000000003E-2</v>
      </c>
      <c r="K1295" s="42">
        <v>6.6736979E-3</v>
      </c>
      <c r="L1295" s="44">
        <v>17.7492200989</v>
      </c>
    </row>
    <row r="1296" spans="1:12" hidden="1">
      <c r="A1296" s="41" t="s">
        <v>2113</v>
      </c>
      <c r="B1296" s="41"/>
      <c r="C1296" s="41" t="s">
        <v>786</v>
      </c>
      <c r="D1296" s="65">
        <v>40201</v>
      </c>
      <c r="E1296" s="42">
        <v>2.65</v>
      </c>
      <c r="F1296" s="43">
        <v>23.536912000000001</v>
      </c>
      <c r="G1296" s="42">
        <v>7.8360209E-2</v>
      </c>
      <c r="H1296" s="42">
        <v>0.37736787999999999</v>
      </c>
      <c r="I1296" s="42">
        <v>0.27600443000000002</v>
      </c>
      <c r="J1296" s="42">
        <v>5.1201244999999999E-2</v>
      </c>
      <c r="K1296" s="42">
        <v>9.5038267999999995E-2</v>
      </c>
      <c r="L1296" s="44">
        <v>24.414884032000003</v>
      </c>
    </row>
    <row r="1297" spans="1:12" hidden="1">
      <c r="A1297" s="41" t="s">
        <v>2114</v>
      </c>
      <c r="B1297" s="41"/>
      <c r="C1297" s="41" t="s">
        <v>811</v>
      </c>
      <c r="D1297" s="65">
        <v>25063</v>
      </c>
      <c r="E1297" s="42">
        <v>3.02</v>
      </c>
      <c r="F1297" s="43">
        <v>4.1843786999999999</v>
      </c>
      <c r="G1297" s="42">
        <v>0.83164373999999996</v>
      </c>
      <c r="H1297" s="42">
        <v>0.18549789</v>
      </c>
      <c r="I1297" s="42">
        <v>0.23444989999999999</v>
      </c>
      <c r="J1297" s="42">
        <v>3.7768032999999999E-2</v>
      </c>
      <c r="K1297" s="42">
        <v>1.7696322E-2</v>
      </c>
      <c r="L1297" s="44">
        <v>5.4914345849999986</v>
      </c>
    </row>
    <row r="1298" spans="1:12" hidden="1">
      <c r="A1298" s="41" t="s">
        <v>2115</v>
      </c>
      <c r="B1298" s="41"/>
      <c r="C1298" s="41" t="s">
        <v>788</v>
      </c>
      <c r="D1298" s="65">
        <v>34003</v>
      </c>
      <c r="E1298" s="42">
        <v>3.11</v>
      </c>
      <c r="F1298" s="43">
        <v>5.1759893000000003</v>
      </c>
      <c r="G1298" s="42">
        <v>1.028726</v>
      </c>
      <c r="H1298" s="42">
        <v>0.34413596000000002</v>
      </c>
      <c r="I1298" s="42">
        <v>0.29060693999999998</v>
      </c>
      <c r="J1298" s="42">
        <v>4.6692341999999998E-2</v>
      </c>
      <c r="K1298" s="42">
        <v>8.8693171000000001E-2</v>
      </c>
      <c r="L1298" s="44">
        <v>6.9748437130000003</v>
      </c>
    </row>
    <row r="1299" spans="1:12" hidden="1">
      <c r="A1299" s="41" t="s">
        <v>2116</v>
      </c>
      <c r="B1299" s="41"/>
      <c r="C1299" s="41" t="s">
        <v>786</v>
      </c>
      <c r="D1299" s="65">
        <v>34004</v>
      </c>
      <c r="E1299" s="42">
        <v>3.11</v>
      </c>
      <c r="F1299" s="43">
        <v>6.8523363000000002</v>
      </c>
      <c r="G1299" s="42">
        <v>1.3618992999999999</v>
      </c>
      <c r="H1299" s="42">
        <v>0.45559123000000001</v>
      </c>
      <c r="I1299" s="42">
        <v>0.38472577000000002</v>
      </c>
      <c r="J1299" s="42">
        <v>6.1814583999999999E-2</v>
      </c>
      <c r="K1299" s="42">
        <v>0.20330878999999999</v>
      </c>
      <c r="L1299" s="44">
        <v>9.319675973999999</v>
      </c>
    </row>
    <row r="1300" spans="1:12" hidden="1">
      <c r="A1300" s="41" t="s">
        <v>2117</v>
      </c>
      <c r="B1300" s="41"/>
      <c r="C1300" s="41" t="s">
        <v>786</v>
      </c>
      <c r="D1300" s="65">
        <v>34000</v>
      </c>
      <c r="E1300" s="42">
        <v>3.11</v>
      </c>
      <c r="F1300" s="43">
        <v>6.8523363000000002</v>
      </c>
      <c r="G1300" s="42">
        <v>1.3618992999999999</v>
      </c>
      <c r="H1300" s="42">
        <v>0.45559123000000001</v>
      </c>
      <c r="I1300" s="42">
        <v>0.38472577000000002</v>
      </c>
      <c r="J1300" s="42">
        <v>6.1814583999999999E-2</v>
      </c>
      <c r="K1300" s="42">
        <v>0.20330878999999999</v>
      </c>
      <c r="L1300" s="44">
        <v>9.319675973999999</v>
      </c>
    </row>
    <row r="1301" spans="1:12" hidden="1">
      <c r="A1301" s="41" t="s">
        <v>2118</v>
      </c>
      <c r="B1301" s="41"/>
      <c r="C1301" s="41" t="s">
        <v>788</v>
      </c>
      <c r="D1301" s="65">
        <v>34001</v>
      </c>
      <c r="E1301" s="42">
        <v>3.11</v>
      </c>
      <c r="F1301" s="43">
        <v>5.1759893000000003</v>
      </c>
      <c r="G1301" s="42">
        <v>1.028726</v>
      </c>
      <c r="H1301" s="42">
        <v>0.34413596000000002</v>
      </c>
      <c r="I1301" s="42">
        <v>0.29060693999999998</v>
      </c>
      <c r="J1301" s="42">
        <v>4.6692341999999998E-2</v>
      </c>
      <c r="K1301" s="42">
        <v>8.8693171000000001E-2</v>
      </c>
      <c r="L1301" s="44">
        <v>6.9748437130000003</v>
      </c>
    </row>
    <row r="1302" spans="1:12" hidden="1">
      <c r="A1302" s="41" t="s">
        <v>2119</v>
      </c>
      <c r="B1302" s="41"/>
      <c r="C1302" s="41" t="s">
        <v>786</v>
      </c>
      <c r="D1302" s="65">
        <v>34002</v>
      </c>
      <c r="E1302" s="42">
        <v>3.11</v>
      </c>
      <c r="F1302" s="43">
        <v>6.8523363000000002</v>
      </c>
      <c r="G1302" s="42">
        <v>1.3618992999999999</v>
      </c>
      <c r="H1302" s="42">
        <v>0.45559123000000001</v>
      </c>
      <c r="I1302" s="42">
        <v>0.38472577000000002</v>
      </c>
      <c r="J1302" s="42">
        <v>6.1814583999999999E-2</v>
      </c>
      <c r="K1302" s="42">
        <v>0.20330878999999999</v>
      </c>
      <c r="L1302" s="44">
        <v>9.319675973999999</v>
      </c>
    </row>
    <row r="1303" spans="1:12" hidden="1">
      <c r="A1303" s="37" t="s">
        <v>2120</v>
      </c>
      <c r="B1303" s="37"/>
      <c r="C1303" s="37" t="s">
        <v>1902</v>
      </c>
      <c r="D1303" s="64">
        <v>16530</v>
      </c>
      <c r="E1303" s="38">
        <v>2.11</v>
      </c>
      <c r="F1303" s="39">
        <v>1.0862319</v>
      </c>
      <c r="G1303" s="38">
        <v>5.5312090000000001E-2</v>
      </c>
      <c r="H1303" s="38">
        <v>0.18086906</v>
      </c>
      <c r="I1303" s="38">
        <v>0.18752339000000001</v>
      </c>
      <c r="J1303" s="38">
        <v>3.9319684000000001E-2</v>
      </c>
      <c r="K1303" s="38">
        <v>6.6736979E-3</v>
      </c>
      <c r="L1303" s="40">
        <v>1.5559298219</v>
      </c>
    </row>
    <row r="1304" spans="1:12" hidden="1">
      <c r="A1304" s="41" t="s">
        <v>2121</v>
      </c>
      <c r="B1304" s="41"/>
      <c r="C1304" s="41" t="s">
        <v>631</v>
      </c>
      <c r="D1304" s="65">
        <v>28720</v>
      </c>
      <c r="E1304" s="42">
        <v>2.91</v>
      </c>
      <c r="F1304" s="43">
        <v>5.4226793999999998</v>
      </c>
      <c r="G1304" s="42">
        <v>0.27572540000000001</v>
      </c>
      <c r="H1304" s="42">
        <v>0.27530876999999998</v>
      </c>
      <c r="I1304" s="42">
        <v>0.20419541999999999</v>
      </c>
      <c r="J1304" s="42">
        <v>3.7353873000000003E-2</v>
      </c>
      <c r="K1304" s="42">
        <v>6.6736979E-3</v>
      </c>
      <c r="L1304" s="44">
        <v>6.2219365608999988</v>
      </c>
    </row>
    <row r="1305" spans="1:12" hidden="1">
      <c r="A1305" s="41" t="s">
        <v>2122</v>
      </c>
      <c r="B1305" s="41"/>
      <c r="C1305" s="41" t="s">
        <v>631</v>
      </c>
      <c r="D1305" s="65">
        <v>28725</v>
      </c>
      <c r="E1305" s="42">
        <v>2.92</v>
      </c>
      <c r="F1305" s="43">
        <v>6.8502369999999999</v>
      </c>
      <c r="G1305" s="42">
        <v>0.34831201000000001</v>
      </c>
      <c r="H1305" s="42">
        <v>0.34778568999999998</v>
      </c>
      <c r="I1305" s="42">
        <v>0.25795126000000002</v>
      </c>
      <c r="J1305" s="42">
        <v>4.7187537000000002E-2</v>
      </c>
      <c r="K1305" s="42">
        <v>9.4321172999999994E-2</v>
      </c>
      <c r="L1305" s="44">
        <v>7.9457946699999997</v>
      </c>
    </row>
    <row r="1306" spans="1:12" hidden="1">
      <c r="A1306" s="37" t="s">
        <v>2123</v>
      </c>
      <c r="B1306" s="37"/>
      <c r="C1306" s="37" t="s">
        <v>631</v>
      </c>
      <c r="D1306" s="64">
        <v>28501</v>
      </c>
      <c r="E1306" s="38">
        <v>2.91</v>
      </c>
      <c r="F1306" s="39">
        <v>5.4226793999999998</v>
      </c>
      <c r="G1306" s="38">
        <v>0.27572540000000001</v>
      </c>
      <c r="H1306" s="38">
        <v>0.27530876999999998</v>
      </c>
      <c r="I1306" s="38">
        <v>0.20419541999999999</v>
      </c>
      <c r="J1306" s="38">
        <v>3.7353873000000003E-2</v>
      </c>
      <c r="K1306" s="38">
        <v>6.6736979E-3</v>
      </c>
      <c r="L1306" s="40">
        <v>6.2219365608999988</v>
      </c>
    </row>
    <row r="1307" spans="1:12" hidden="1">
      <c r="A1307" s="37" t="s">
        <v>2124</v>
      </c>
      <c r="B1307" s="37"/>
      <c r="C1307" s="37" t="s">
        <v>631</v>
      </c>
      <c r="D1307" s="64">
        <v>28504</v>
      </c>
      <c r="E1307" s="38">
        <v>2.92</v>
      </c>
      <c r="F1307" s="39">
        <v>6.8502369999999999</v>
      </c>
      <c r="G1307" s="38">
        <v>0.34831201000000001</v>
      </c>
      <c r="H1307" s="38">
        <v>0.34778568999999998</v>
      </c>
      <c r="I1307" s="38">
        <v>0.25795126000000002</v>
      </c>
      <c r="J1307" s="38">
        <v>4.7187537000000002E-2</v>
      </c>
      <c r="K1307" s="38">
        <v>9.4321172999999994E-2</v>
      </c>
      <c r="L1307" s="40">
        <v>7.9457946699999997</v>
      </c>
    </row>
    <row r="1308" spans="1:12" hidden="1">
      <c r="A1308" s="37" t="s">
        <v>2125</v>
      </c>
      <c r="B1308" s="37"/>
      <c r="C1308" s="37" t="s">
        <v>811</v>
      </c>
      <c r="D1308" s="64">
        <v>25219</v>
      </c>
      <c r="E1308" s="38">
        <v>2.68</v>
      </c>
      <c r="F1308" s="39">
        <v>1.4945964</v>
      </c>
      <c r="G1308" s="38">
        <v>0.44180808999999999</v>
      </c>
      <c r="H1308" s="38">
        <v>0.18194642</v>
      </c>
      <c r="I1308" s="38">
        <v>0.22240668</v>
      </c>
      <c r="J1308" s="38">
        <v>2.6628465E-2</v>
      </c>
      <c r="K1308" s="38">
        <v>1.7696322E-2</v>
      </c>
      <c r="L1308" s="40">
        <v>2.3850823770000003</v>
      </c>
    </row>
    <row r="1309" spans="1:12" hidden="1">
      <c r="A1309" s="37" t="s">
        <v>2126</v>
      </c>
      <c r="B1309" s="37"/>
      <c r="C1309" s="37" t="s">
        <v>811</v>
      </c>
      <c r="D1309" s="64">
        <v>25081</v>
      </c>
      <c r="E1309" s="38">
        <v>2.29</v>
      </c>
      <c r="F1309" s="39">
        <v>3.8734307000000001</v>
      </c>
      <c r="G1309" s="38">
        <v>0.71027638000000004</v>
      </c>
      <c r="H1309" s="38">
        <v>0.18194642</v>
      </c>
      <c r="I1309" s="38">
        <v>0.23826839999999999</v>
      </c>
      <c r="J1309" s="38">
        <v>2.6628465E-2</v>
      </c>
      <c r="K1309" s="38">
        <v>1.7696322E-2</v>
      </c>
      <c r="L1309" s="40">
        <v>5.0482466869999998</v>
      </c>
    </row>
    <row r="1310" spans="1:12" hidden="1">
      <c r="A1310" s="37" t="s">
        <v>2127</v>
      </c>
      <c r="B1310" s="37"/>
      <c r="C1310" s="37" t="s">
        <v>811</v>
      </c>
      <c r="D1310" s="64">
        <v>25635</v>
      </c>
      <c r="E1310" s="38">
        <v>2.0099999999999998</v>
      </c>
      <c r="F1310" s="39">
        <v>1.9432388</v>
      </c>
      <c r="G1310" s="38">
        <v>0.53079425000000002</v>
      </c>
      <c r="H1310" s="38">
        <v>0.18194642</v>
      </c>
      <c r="I1310" s="38">
        <v>0.21319208000000001</v>
      </c>
      <c r="J1310" s="38">
        <v>2.6628465E-2</v>
      </c>
      <c r="K1310" s="38">
        <v>1.7696322E-2</v>
      </c>
      <c r="L1310" s="40">
        <v>2.9134963369999998</v>
      </c>
    </row>
    <row r="1311" spans="1:12" hidden="1">
      <c r="A1311" s="37" t="s">
        <v>2128</v>
      </c>
      <c r="B1311" s="37"/>
      <c r="C1311" s="37" t="s">
        <v>811</v>
      </c>
      <c r="D1311" s="64">
        <v>25139</v>
      </c>
      <c r="E1311" s="38">
        <v>2.94</v>
      </c>
      <c r="F1311" s="39">
        <v>2.2004427999999998</v>
      </c>
      <c r="G1311" s="38">
        <v>0.59169559999999999</v>
      </c>
      <c r="H1311" s="38">
        <v>0.18194642</v>
      </c>
      <c r="I1311" s="38">
        <v>0.31248355</v>
      </c>
      <c r="J1311" s="38">
        <v>2.6628465E-2</v>
      </c>
      <c r="K1311" s="38">
        <v>1.7696322E-2</v>
      </c>
      <c r="L1311" s="40">
        <v>3.3308931569999998</v>
      </c>
    </row>
    <row r="1312" spans="1:12" hidden="1">
      <c r="A1312" s="37" t="s">
        <v>2129</v>
      </c>
      <c r="B1312" s="37"/>
      <c r="C1312" s="37" t="s">
        <v>811</v>
      </c>
      <c r="D1312" s="64">
        <v>25131</v>
      </c>
      <c r="E1312" s="38">
        <v>2.29</v>
      </c>
      <c r="F1312" s="39">
        <v>1.4945964</v>
      </c>
      <c r="G1312" s="38">
        <v>0.44180808999999999</v>
      </c>
      <c r="H1312" s="38">
        <v>0.18194642</v>
      </c>
      <c r="I1312" s="38">
        <v>0.22240668</v>
      </c>
      <c r="J1312" s="38">
        <v>2.6628465E-2</v>
      </c>
      <c r="K1312" s="38">
        <v>1.7696322E-2</v>
      </c>
      <c r="L1312" s="40">
        <v>2.3850823770000003</v>
      </c>
    </row>
    <row r="1313" spans="1:12" hidden="1">
      <c r="A1313" s="37" t="s">
        <v>2130</v>
      </c>
      <c r="B1313" s="37"/>
      <c r="C1313" s="37" t="s">
        <v>811</v>
      </c>
      <c r="D1313" s="64">
        <v>25218</v>
      </c>
      <c r="E1313" s="38">
        <v>2.29</v>
      </c>
      <c r="F1313" s="39">
        <v>1.4945964</v>
      </c>
      <c r="G1313" s="38">
        <v>0.44180808999999999</v>
      </c>
      <c r="H1313" s="38">
        <v>0.18194642</v>
      </c>
      <c r="I1313" s="38">
        <v>0.22240668</v>
      </c>
      <c r="J1313" s="38">
        <v>2.6628465E-2</v>
      </c>
      <c r="K1313" s="38">
        <v>1.7696322E-2</v>
      </c>
      <c r="L1313" s="40">
        <v>2.3850823770000003</v>
      </c>
    </row>
    <row r="1314" spans="1:12" hidden="1">
      <c r="A1314" s="37" t="s">
        <v>2131</v>
      </c>
      <c r="B1314" s="37"/>
      <c r="C1314" s="37" t="s">
        <v>1199</v>
      </c>
      <c r="D1314" s="64">
        <v>11053</v>
      </c>
      <c r="E1314" s="38">
        <v>4.3099999999999996</v>
      </c>
      <c r="F1314" s="39">
        <v>0.17749324999999999</v>
      </c>
      <c r="G1314" s="38">
        <v>0</v>
      </c>
      <c r="H1314" s="38">
        <v>0.47782284000000003</v>
      </c>
      <c r="I1314" s="38">
        <v>0.17533074000000001</v>
      </c>
      <c r="J1314" s="38">
        <v>1.5675970000000001E-2</v>
      </c>
      <c r="K1314" s="38">
        <v>0</v>
      </c>
      <c r="L1314" s="40">
        <v>0.84632280000000004</v>
      </c>
    </row>
    <row r="1315" spans="1:12" hidden="1">
      <c r="A1315" s="41" t="s">
        <v>2132</v>
      </c>
      <c r="B1315" s="41"/>
      <c r="C1315" s="41" t="s">
        <v>894</v>
      </c>
      <c r="D1315" s="65">
        <v>42200</v>
      </c>
      <c r="E1315" s="42">
        <v>3.47</v>
      </c>
      <c r="F1315" s="43">
        <v>5.9107811000000003</v>
      </c>
      <c r="G1315" s="42">
        <v>0.13314203999999999</v>
      </c>
      <c r="H1315" s="42">
        <v>0.10086320999999999</v>
      </c>
      <c r="I1315" s="42">
        <v>0.63064240000000005</v>
      </c>
      <c r="J1315" s="42">
        <v>1.6060356000000001E-2</v>
      </c>
      <c r="K1315" s="42">
        <v>0</v>
      </c>
      <c r="L1315" s="44">
        <v>6.7914891060000002</v>
      </c>
    </row>
    <row r="1316" spans="1:12" hidden="1">
      <c r="A1316" s="41" t="s">
        <v>2133</v>
      </c>
      <c r="B1316" s="41"/>
      <c r="C1316" s="41" t="s">
        <v>842</v>
      </c>
      <c r="D1316" s="65">
        <v>20258</v>
      </c>
      <c r="E1316" s="42">
        <v>2.82</v>
      </c>
      <c r="F1316" s="43">
        <v>0.30597203000000001</v>
      </c>
      <c r="G1316" s="42">
        <v>0.17774317000000001</v>
      </c>
      <c r="H1316" s="42">
        <v>0.19123493999999999</v>
      </c>
      <c r="I1316" s="42">
        <v>0.23310444999999999</v>
      </c>
      <c r="J1316" s="42">
        <v>3.8936116E-2</v>
      </c>
      <c r="K1316" s="42">
        <v>2.7843060999999999E-2</v>
      </c>
      <c r="L1316" s="44">
        <v>0.97483376700000002</v>
      </c>
    </row>
    <row r="1317" spans="1:12" hidden="1">
      <c r="A1317" s="41" t="s">
        <v>2134</v>
      </c>
      <c r="B1317" s="41"/>
      <c r="C1317" s="41" t="s">
        <v>811</v>
      </c>
      <c r="D1317" s="65">
        <v>25511</v>
      </c>
      <c r="E1317" s="42">
        <v>2.42</v>
      </c>
      <c r="F1317" s="43">
        <v>3.0965202999999999</v>
      </c>
      <c r="G1317" s="42">
        <v>0.41709294000000002</v>
      </c>
      <c r="H1317" s="42">
        <v>0.29804921000000001</v>
      </c>
      <c r="I1317" s="42">
        <v>0.22173978999999999</v>
      </c>
      <c r="J1317" s="42">
        <v>3.7768032999999999E-2</v>
      </c>
      <c r="K1317" s="42">
        <v>1.7696322E-2</v>
      </c>
      <c r="L1317" s="44">
        <v>4.0888665949999989</v>
      </c>
    </row>
    <row r="1318" spans="1:12" hidden="1">
      <c r="A1318" s="37" t="s">
        <v>2135</v>
      </c>
      <c r="B1318" s="37"/>
      <c r="C1318" s="37" t="s">
        <v>842</v>
      </c>
      <c r="D1318" s="64">
        <v>20497</v>
      </c>
      <c r="E1318" s="38">
        <v>2.89</v>
      </c>
      <c r="F1318" s="39">
        <v>0.21865681000000001</v>
      </c>
      <c r="G1318" s="38">
        <v>0.16605807</v>
      </c>
      <c r="H1318" s="38">
        <v>0.18549789</v>
      </c>
      <c r="I1318" s="38">
        <v>0.23961241</v>
      </c>
      <c r="J1318" s="38">
        <v>3.7768032999999999E-2</v>
      </c>
      <c r="K1318" s="38">
        <v>1.7696322E-2</v>
      </c>
      <c r="L1318" s="40">
        <v>0.86528953499999994</v>
      </c>
    </row>
    <row r="1319" spans="1:12" hidden="1">
      <c r="A1319" s="37" t="s">
        <v>2136</v>
      </c>
      <c r="B1319" s="37"/>
      <c r="C1319" s="37" t="s">
        <v>842</v>
      </c>
      <c r="D1319" s="64">
        <v>20496</v>
      </c>
      <c r="E1319" s="38">
        <v>2.5299999999999998</v>
      </c>
      <c r="F1319" s="39">
        <v>0.20876259</v>
      </c>
      <c r="G1319" s="38">
        <v>9.2645107000000004E-2</v>
      </c>
      <c r="H1319" s="38">
        <v>0.18031389</v>
      </c>
      <c r="I1319" s="38">
        <v>0.23084569999999999</v>
      </c>
      <c r="J1319" s="38">
        <v>6.5218400999999995E-2</v>
      </c>
      <c r="K1319" s="38">
        <v>2.5251829999999999E-2</v>
      </c>
      <c r="L1319" s="40">
        <v>0.80303751799999989</v>
      </c>
    </row>
    <row r="1320" spans="1:12" hidden="1">
      <c r="A1320" s="37" t="s">
        <v>2137</v>
      </c>
      <c r="B1320" s="37"/>
      <c r="C1320" s="37" t="s">
        <v>842</v>
      </c>
      <c r="D1320" s="64">
        <v>20263</v>
      </c>
      <c r="E1320" s="38">
        <v>2.42</v>
      </c>
      <c r="F1320" s="39">
        <v>0.96777400000000002</v>
      </c>
      <c r="G1320" s="38">
        <v>0.10120831</v>
      </c>
      <c r="H1320" s="38">
        <v>0.18031389</v>
      </c>
      <c r="I1320" s="38">
        <v>0.20511145</v>
      </c>
      <c r="J1320" s="38">
        <v>6.5218400999999995E-2</v>
      </c>
      <c r="K1320" s="38">
        <v>2.5251829999999999E-2</v>
      </c>
      <c r="L1320" s="40">
        <v>1.5448778810000001</v>
      </c>
    </row>
    <row r="1321" spans="1:12" hidden="1">
      <c r="A1321" s="37" t="s">
        <v>2138</v>
      </c>
      <c r="B1321" s="37"/>
      <c r="C1321" s="37" t="s">
        <v>842</v>
      </c>
      <c r="D1321" s="64">
        <v>20266</v>
      </c>
      <c r="E1321" s="38">
        <v>2.89</v>
      </c>
      <c r="F1321" s="39">
        <v>0.20876259</v>
      </c>
      <c r="G1321" s="38">
        <v>9.2645107000000004E-2</v>
      </c>
      <c r="H1321" s="38">
        <v>0.18031389</v>
      </c>
      <c r="I1321" s="38">
        <v>0.23084569999999999</v>
      </c>
      <c r="J1321" s="38">
        <v>6.5218400999999995E-2</v>
      </c>
      <c r="K1321" s="38">
        <v>3.6274453999999998E-2</v>
      </c>
      <c r="L1321" s="40">
        <v>0.81406014199999988</v>
      </c>
    </row>
    <row r="1322" spans="1:12" hidden="1">
      <c r="A1322" s="37" t="s">
        <v>2139</v>
      </c>
      <c r="B1322" s="37"/>
      <c r="C1322" s="37" t="s">
        <v>842</v>
      </c>
      <c r="D1322" s="64">
        <v>20101</v>
      </c>
      <c r="E1322" s="38">
        <v>2.42</v>
      </c>
      <c r="F1322" s="39">
        <v>0.96777400000000002</v>
      </c>
      <c r="G1322" s="38">
        <v>0.10120831</v>
      </c>
      <c r="H1322" s="38">
        <v>0.18031389</v>
      </c>
      <c r="I1322" s="38">
        <v>0.20511145</v>
      </c>
      <c r="J1322" s="38">
        <v>6.5218400999999995E-2</v>
      </c>
      <c r="K1322" s="38">
        <v>2.5251829999999999E-2</v>
      </c>
      <c r="L1322" s="40">
        <v>1.5448778810000001</v>
      </c>
    </row>
    <row r="1323" spans="1:12" hidden="1">
      <c r="A1323" s="37" t="s">
        <v>2140</v>
      </c>
      <c r="B1323" s="37"/>
      <c r="C1323" s="37" t="s">
        <v>1711</v>
      </c>
      <c r="D1323" s="64">
        <v>20588</v>
      </c>
      <c r="E1323" s="38">
        <v>3.37</v>
      </c>
      <c r="F1323" s="39">
        <v>0.16797630999999999</v>
      </c>
      <c r="G1323" s="38">
        <v>0</v>
      </c>
      <c r="H1323" s="38">
        <v>0.11375999000000001</v>
      </c>
      <c r="I1323" s="38">
        <v>8.0134180999999999E-2</v>
      </c>
      <c r="J1323" s="38">
        <v>2.7810721E-2</v>
      </c>
      <c r="K1323" s="38">
        <v>1.1022624E-2</v>
      </c>
      <c r="L1323" s="40">
        <v>0.40070382599999993</v>
      </c>
    </row>
    <row r="1324" spans="1:12" hidden="1">
      <c r="A1324" s="37" t="s">
        <v>2141</v>
      </c>
      <c r="B1324" s="37"/>
      <c r="C1324" s="37" t="s">
        <v>1711</v>
      </c>
      <c r="D1324" s="64">
        <v>20586</v>
      </c>
      <c r="E1324" s="38">
        <v>3.37</v>
      </c>
      <c r="F1324" s="39">
        <v>0.39139233000000001</v>
      </c>
      <c r="G1324" s="38">
        <v>0</v>
      </c>
      <c r="H1324" s="38">
        <v>0.26506589000000003</v>
      </c>
      <c r="I1324" s="38">
        <v>0.18671623000000001</v>
      </c>
      <c r="J1324" s="38">
        <v>6.4800225000000003E-2</v>
      </c>
      <c r="K1324" s="38">
        <v>0</v>
      </c>
      <c r="L1324" s="40">
        <v>0.90797467500000006</v>
      </c>
    </row>
    <row r="1325" spans="1:12" hidden="1">
      <c r="A1325" s="37" t="s">
        <v>2142</v>
      </c>
      <c r="B1325" s="37"/>
      <c r="C1325" s="37" t="s">
        <v>1711</v>
      </c>
      <c r="D1325" s="64">
        <v>20589</v>
      </c>
      <c r="E1325" s="38">
        <v>3.37</v>
      </c>
      <c r="F1325" s="39">
        <v>0.16797630999999999</v>
      </c>
      <c r="G1325" s="38">
        <v>0</v>
      </c>
      <c r="H1325" s="38">
        <v>0.11375999000000001</v>
      </c>
      <c r="I1325" s="38">
        <v>8.0134180999999999E-2</v>
      </c>
      <c r="J1325" s="38">
        <v>2.7810721E-2</v>
      </c>
      <c r="K1325" s="38">
        <v>1.1022624E-2</v>
      </c>
      <c r="L1325" s="40">
        <v>0.40070382599999993</v>
      </c>
    </row>
    <row r="1326" spans="1:12" hidden="1">
      <c r="A1326" s="37" t="s">
        <v>2143</v>
      </c>
      <c r="B1326" s="37"/>
      <c r="C1326" s="37" t="s">
        <v>1711</v>
      </c>
      <c r="D1326" s="64">
        <v>20535</v>
      </c>
      <c r="E1326" s="38">
        <v>3.37</v>
      </c>
      <c r="F1326" s="39">
        <v>0.39139233000000001</v>
      </c>
      <c r="G1326" s="38">
        <v>0</v>
      </c>
      <c r="H1326" s="38">
        <v>0.26506589000000003</v>
      </c>
      <c r="I1326" s="38">
        <v>0.18671623000000001</v>
      </c>
      <c r="J1326" s="38">
        <v>6.4800225000000003E-2</v>
      </c>
      <c r="K1326" s="38">
        <v>0</v>
      </c>
      <c r="L1326" s="40">
        <v>0.90797467500000006</v>
      </c>
    </row>
    <row r="1327" spans="1:12" hidden="1">
      <c r="A1327" s="37" t="s">
        <v>2144</v>
      </c>
      <c r="B1327" s="37"/>
      <c r="C1327" s="37" t="s">
        <v>1711</v>
      </c>
      <c r="D1327" s="64">
        <v>20587</v>
      </c>
      <c r="E1327" s="38">
        <v>3.37</v>
      </c>
      <c r="F1327" s="39">
        <v>0.16797630999999999</v>
      </c>
      <c r="G1327" s="38">
        <v>0</v>
      </c>
      <c r="H1327" s="38">
        <v>0.11375999000000001</v>
      </c>
      <c r="I1327" s="38">
        <v>8.0134180999999999E-2</v>
      </c>
      <c r="J1327" s="38">
        <v>2.7810721E-2</v>
      </c>
      <c r="K1327" s="38">
        <v>1.1022624E-2</v>
      </c>
      <c r="L1327" s="40">
        <v>0.40070382599999993</v>
      </c>
    </row>
    <row r="1328" spans="1:12" hidden="1">
      <c r="A1328" s="37" t="s">
        <v>2145</v>
      </c>
      <c r="B1328" s="37"/>
      <c r="C1328" s="37" t="s">
        <v>1711</v>
      </c>
      <c r="D1328" s="64">
        <v>20585</v>
      </c>
      <c r="E1328" s="38">
        <v>3.37</v>
      </c>
      <c r="F1328" s="39">
        <v>0.39139233000000001</v>
      </c>
      <c r="G1328" s="38">
        <v>0</v>
      </c>
      <c r="H1328" s="38">
        <v>0.26506589000000003</v>
      </c>
      <c r="I1328" s="38">
        <v>0.18671623000000001</v>
      </c>
      <c r="J1328" s="38">
        <v>6.4800225000000003E-2</v>
      </c>
      <c r="K1328" s="38">
        <v>0</v>
      </c>
      <c r="L1328" s="40">
        <v>0.90797467500000006</v>
      </c>
    </row>
    <row r="1329" spans="1:12" hidden="1">
      <c r="A1329" s="37" t="s">
        <v>2146</v>
      </c>
      <c r="B1329" s="37"/>
      <c r="C1329" s="37" t="s">
        <v>1711</v>
      </c>
      <c r="D1329" s="64">
        <v>20510</v>
      </c>
      <c r="E1329" s="38">
        <v>3.21</v>
      </c>
      <c r="F1329" s="39">
        <v>0.38828649999999998</v>
      </c>
      <c r="G1329" s="38">
        <v>0.18597732</v>
      </c>
      <c r="H1329" s="38">
        <v>0.25915577000000001</v>
      </c>
      <c r="I1329" s="38">
        <v>0.24397545000000001</v>
      </c>
      <c r="J1329" s="38">
        <v>2.3875550999999998E-2</v>
      </c>
      <c r="K1329" s="38">
        <v>1.1022624E-2</v>
      </c>
      <c r="L1329" s="40">
        <v>1.112293215</v>
      </c>
    </row>
    <row r="1330" spans="1:12" hidden="1">
      <c r="A1330" s="37" t="s">
        <v>2147</v>
      </c>
      <c r="B1330" s="37"/>
      <c r="C1330" s="37" t="s">
        <v>1711</v>
      </c>
      <c r="D1330" s="64">
        <v>20505</v>
      </c>
      <c r="E1330" s="38">
        <v>3.22</v>
      </c>
      <c r="F1330" s="39">
        <v>0.16797630999999999</v>
      </c>
      <c r="G1330" s="38">
        <v>0</v>
      </c>
      <c r="H1330" s="38">
        <v>0.11375999000000001</v>
      </c>
      <c r="I1330" s="38">
        <v>8.0134180999999999E-2</v>
      </c>
      <c r="J1330" s="38">
        <v>2.7810721E-2</v>
      </c>
      <c r="K1330" s="38">
        <v>1.1022624E-2</v>
      </c>
      <c r="L1330" s="40">
        <v>0.40070382599999993</v>
      </c>
    </row>
    <row r="1331" spans="1:12" hidden="1">
      <c r="A1331" s="37" t="s">
        <v>2148</v>
      </c>
      <c r="B1331" s="37"/>
      <c r="C1331" s="37" t="s">
        <v>1711</v>
      </c>
      <c r="D1331" s="64">
        <v>20521</v>
      </c>
      <c r="E1331" s="38">
        <v>4.08</v>
      </c>
      <c r="F1331" s="39">
        <v>0.39139233000000001</v>
      </c>
      <c r="G1331" s="38">
        <v>0</v>
      </c>
      <c r="H1331" s="38">
        <v>0.26506589000000003</v>
      </c>
      <c r="I1331" s="38">
        <v>0.18671623000000001</v>
      </c>
      <c r="J1331" s="38">
        <v>6.4800225000000003E-2</v>
      </c>
      <c r="K1331" s="38">
        <v>0</v>
      </c>
      <c r="L1331" s="40">
        <v>0.90797467500000006</v>
      </c>
    </row>
    <row r="1332" spans="1:12" hidden="1">
      <c r="A1332" s="37" t="s">
        <v>2149</v>
      </c>
      <c r="B1332" s="37"/>
      <c r="C1332" s="37" t="s">
        <v>1711</v>
      </c>
      <c r="D1332" s="64">
        <v>20504</v>
      </c>
      <c r="E1332" s="38">
        <v>3.22</v>
      </c>
      <c r="F1332" s="39">
        <v>0.39139233000000001</v>
      </c>
      <c r="G1332" s="38">
        <v>0</v>
      </c>
      <c r="H1332" s="38">
        <v>0.26506589000000003</v>
      </c>
      <c r="I1332" s="38">
        <v>0.18671623000000001</v>
      </c>
      <c r="J1332" s="38">
        <v>6.4800225000000003E-2</v>
      </c>
      <c r="K1332" s="38">
        <v>0</v>
      </c>
      <c r="L1332" s="40">
        <v>0.90797467500000006</v>
      </c>
    </row>
    <row r="1333" spans="1:12" hidden="1">
      <c r="A1333" s="37" t="s">
        <v>2150</v>
      </c>
      <c r="B1333" s="37"/>
      <c r="C1333" s="37" t="s">
        <v>894</v>
      </c>
      <c r="D1333" s="64">
        <v>11009</v>
      </c>
      <c r="E1333" s="38">
        <v>2.46</v>
      </c>
      <c r="F1333" s="39">
        <v>0</v>
      </c>
      <c r="G1333" s="38">
        <v>5.4835747000000001</v>
      </c>
      <c r="H1333" s="38">
        <v>6.1109615000000004E-3</v>
      </c>
      <c r="I1333" s="38">
        <v>9.9389861999999995E-2</v>
      </c>
      <c r="J1333" s="38">
        <v>1.6060356000000001E-2</v>
      </c>
      <c r="K1333" s="38">
        <v>0</v>
      </c>
      <c r="L1333" s="40">
        <v>5.6051358794999997</v>
      </c>
    </row>
    <row r="1334" spans="1:12" hidden="1">
      <c r="A1334" s="37" t="s">
        <v>2151</v>
      </c>
      <c r="B1334" s="37"/>
      <c r="C1334" s="37" t="s">
        <v>894</v>
      </c>
      <c r="D1334" s="64">
        <v>11046</v>
      </c>
      <c r="E1334" s="38">
        <v>2.85</v>
      </c>
      <c r="F1334" s="39">
        <v>0</v>
      </c>
      <c r="G1334" s="38">
        <v>5.4835747000000001</v>
      </c>
      <c r="H1334" s="38">
        <v>6.1109615000000004E-3</v>
      </c>
      <c r="I1334" s="38">
        <v>9.9389861999999995E-2</v>
      </c>
      <c r="J1334" s="38">
        <v>1.6060356000000001E-2</v>
      </c>
      <c r="K1334" s="38">
        <v>0</v>
      </c>
      <c r="L1334" s="40">
        <v>5.6051358794999997</v>
      </c>
    </row>
    <row r="1335" spans="1:12" hidden="1">
      <c r="A1335" s="37" t="s">
        <v>2152</v>
      </c>
      <c r="B1335" s="37"/>
      <c r="C1335" s="37" t="s">
        <v>894</v>
      </c>
      <c r="D1335" s="64">
        <v>11010</v>
      </c>
      <c r="E1335" s="38">
        <v>2.46</v>
      </c>
      <c r="F1335" s="39">
        <v>0</v>
      </c>
      <c r="G1335" s="38">
        <v>5.4835747000000001</v>
      </c>
      <c r="H1335" s="38">
        <v>0.10086320999999999</v>
      </c>
      <c r="I1335" s="38">
        <v>0.10851091</v>
      </c>
      <c r="J1335" s="38">
        <v>1.6060356000000001E-2</v>
      </c>
      <c r="K1335" s="38">
        <v>0</v>
      </c>
      <c r="L1335" s="40">
        <v>5.7090091759999995</v>
      </c>
    </row>
    <row r="1336" spans="1:12" hidden="1">
      <c r="A1336" s="37" t="s">
        <v>2153</v>
      </c>
      <c r="B1336" s="37"/>
      <c r="C1336" s="37" t="s">
        <v>894</v>
      </c>
      <c r="D1336" s="64">
        <v>11045</v>
      </c>
      <c r="E1336" s="38">
        <v>2.46</v>
      </c>
      <c r="F1336" s="39">
        <v>0</v>
      </c>
      <c r="G1336" s="38">
        <v>5.4835747000000001</v>
      </c>
      <c r="H1336" s="38">
        <v>6.1109615000000004E-3</v>
      </c>
      <c r="I1336" s="38">
        <v>9.9389861999999995E-2</v>
      </c>
      <c r="J1336" s="38">
        <v>1.6060356000000001E-2</v>
      </c>
      <c r="K1336" s="38">
        <v>0</v>
      </c>
      <c r="L1336" s="40">
        <v>5.6051358794999997</v>
      </c>
    </row>
    <row r="1337" spans="1:12" hidden="1">
      <c r="A1337" s="37" t="s">
        <v>2154</v>
      </c>
      <c r="B1337" s="37"/>
      <c r="C1337" s="37" t="s">
        <v>784</v>
      </c>
      <c r="D1337" s="64">
        <v>20996</v>
      </c>
      <c r="E1337" s="38">
        <v>2.99</v>
      </c>
      <c r="F1337" s="39">
        <v>4.5528129000000002</v>
      </c>
      <c r="G1337" s="38">
        <v>1.4896054000000001</v>
      </c>
      <c r="H1337" s="38">
        <v>0.28987795999999999</v>
      </c>
      <c r="I1337" s="38">
        <v>0.19846865999999999</v>
      </c>
      <c r="J1337" s="38">
        <v>2.0039066000000001E-2</v>
      </c>
      <c r="K1337" s="38">
        <v>9.9403358999999997E-3</v>
      </c>
      <c r="L1337" s="40">
        <v>6.5607443218999997</v>
      </c>
    </row>
    <row r="1338" spans="1:12" hidden="1">
      <c r="A1338" s="37" t="s">
        <v>2155</v>
      </c>
      <c r="B1338" s="37"/>
      <c r="C1338" s="37" t="s">
        <v>1085</v>
      </c>
      <c r="D1338" s="64">
        <v>39220</v>
      </c>
      <c r="E1338" s="38">
        <v>4.0999999999999996</v>
      </c>
      <c r="F1338" s="39">
        <v>1.9842063000000001</v>
      </c>
      <c r="G1338" s="38">
        <v>0</v>
      </c>
      <c r="H1338" s="38">
        <v>0.18549789</v>
      </c>
      <c r="I1338" s="38">
        <v>0.19026589999999999</v>
      </c>
      <c r="J1338" s="38">
        <v>3.7768032999999999E-2</v>
      </c>
      <c r="K1338" s="38">
        <v>6.6736979E-3</v>
      </c>
      <c r="L1338" s="40">
        <v>2.4044118209000001</v>
      </c>
    </row>
    <row r="1339" spans="1:12" hidden="1">
      <c r="A1339" s="37" t="s">
        <v>2156</v>
      </c>
      <c r="B1339" s="37"/>
      <c r="C1339" s="37" t="s">
        <v>1085</v>
      </c>
      <c r="D1339" s="64">
        <v>19681</v>
      </c>
      <c r="E1339" s="38">
        <v>2.41</v>
      </c>
      <c r="F1339" s="39">
        <v>3.8023536999999998</v>
      </c>
      <c r="G1339" s="38">
        <v>0.28124091000000001</v>
      </c>
      <c r="H1339" s="38">
        <v>0.18549789</v>
      </c>
      <c r="I1339" s="38">
        <v>0.25763135999999998</v>
      </c>
      <c r="J1339" s="38">
        <v>3.7768032999999999E-2</v>
      </c>
      <c r="K1339" s="38">
        <v>6.6736979E-3</v>
      </c>
      <c r="L1339" s="40">
        <v>4.5711655908999989</v>
      </c>
    </row>
    <row r="1340" spans="1:12" hidden="1">
      <c r="A1340" s="37" t="s">
        <v>2157</v>
      </c>
      <c r="B1340" s="37"/>
      <c r="C1340" s="37" t="s">
        <v>826</v>
      </c>
      <c r="D1340" s="64">
        <v>26129</v>
      </c>
      <c r="E1340" s="38">
        <v>3.64</v>
      </c>
      <c r="F1340" s="39">
        <v>9.3213296000000003</v>
      </c>
      <c r="G1340" s="38">
        <v>0</v>
      </c>
      <c r="H1340" s="38">
        <v>0.27530876999999998</v>
      </c>
      <c r="I1340" s="38">
        <v>1.1705296999999999</v>
      </c>
      <c r="J1340" s="38">
        <v>3.7353873000000003E-2</v>
      </c>
      <c r="K1340" s="38">
        <v>6.6736979E-3</v>
      </c>
      <c r="L1340" s="40">
        <v>10.811195640900001</v>
      </c>
    </row>
    <row r="1341" spans="1:12" hidden="1">
      <c r="A1341" s="41" t="s">
        <v>2158</v>
      </c>
      <c r="B1341" s="41"/>
      <c r="C1341" s="41" t="s">
        <v>826</v>
      </c>
      <c r="D1341" s="65">
        <v>26134</v>
      </c>
      <c r="E1341" s="42">
        <v>3.57</v>
      </c>
      <c r="F1341" s="43">
        <v>4.5918191000000004</v>
      </c>
      <c r="G1341" s="42">
        <v>0</v>
      </c>
      <c r="H1341" s="42">
        <v>0.27530876999999998</v>
      </c>
      <c r="I1341" s="42">
        <v>0.95275575000000001</v>
      </c>
      <c r="J1341" s="42">
        <v>3.7353873000000003E-2</v>
      </c>
      <c r="K1341" s="42">
        <v>6.6736979E-3</v>
      </c>
      <c r="L1341" s="44">
        <v>5.8639111908999997</v>
      </c>
    </row>
    <row r="1342" spans="1:12" hidden="1">
      <c r="A1342" s="41" t="s">
        <v>2159</v>
      </c>
      <c r="B1342" s="41"/>
      <c r="C1342" s="41" t="s">
        <v>873</v>
      </c>
      <c r="D1342" s="65">
        <v>26015</v>
      </c>
      <c r="E1342" s="42">
        <v>3.46</v>
      </c>
      <c r="F1342" s="43">
        <v>5.6068775999999998</v>
      </c>
      <c r="G1342" s="42">
        <v>0</v>
      </c>
      <c r="H1342" s="42">
        <v>0.22504651000000001</v>
      </c>
      <c r="I1342" s="42">
        <v>1.1633701000000001</v>
      </c>
      <c r="J1342" s="42">
        <v>4.5611246000000001E-2</v>
      </c>
      <c r="K1342" s="42">
        <v>9.4039550999999999E-2</v>
      </c>
      <c r="L1342" s="44">
        <v>7.1349450069999998</v>
      </c>
    </row>
    <row r="1343" spans="1:12" hidden="1">
      <c r="A1343" s="41" t="s">
        <v>2160</v>
      </c>
      <c r="B1343" s="41"/>
      <c r="C1343" s="41" t="s">
        <v>826</v>
      </c>
      <c r="D1343" s="65">
        <v>26047</v>
      </c>
      <c r="E1343" s="42">
        <v>3.48</v>
      </c>
      <c r="F1343" s="43">
        <v>2.8537941</v>
      </c>
      <c r="G1343" s="42">
        <v>0.46001826000000001</v>
      </c>
      <c r="H1343" s="42">
        <v>0.26884300999999999</v>
      </c>
      <c r="I1343" s="42">
        <v>0.66358046999999998</v>
      </c>
      <c r="J1343" s="42">
        <v>6.6872780000000007E-2</v>
      </c>
      <c r="K1343" s="42">
        <v>2.5251829999999999E-2</v>
      </c>
      <c r="L1343" s="44">
        <v>4.3383604499999997</v>
      </c>
    </row>
    <row r="1344" spans="1:12" hidden="1">
      <c r="A1344" s="37" t="s">
        <v>2161</v>
      </c>
      <c r="B1344" s="37"/>
      <c r="C1344" s="37" t="s">
        <v>826</v>
      </c>
      <c r="D1344" s="64">
        <v>26006</v>
      </c>
      <c r="E1344" s="38">
        <v>3.68</v>
      </c>
      <c r="F1344" s="39">
        <v>9.3213296000000003</v>
      </c>
      <c r="G1344" s="38">
        <v>0</v>
      </c>
      <c r="H1344" s="38">
        <v>0.27530876999999998</v>
      </c>
      <c r="I1344" s="38">
        <v>1.1705296999999999</v>
      </c>
      <c r="J1344" s="38">
        <v>3.7353873000000003E-2</v>
      </c>
      <c r="K1344" s="38">
        <v>6.6736979E-3</v>
      </c>
      <c r="L1344" s="40">
        <v>10.811195640900001</v>
      </c>
    </row>
    <row r="1345" spans="1:12" hidden="1">
      <c r="A1345" s="37" t="s">
        <v>2162</v>
      </c>
      <c r="B1345" s="37"/>
      <c r="C1345" s="37" t="s">
        <v>873</v>
      </c>
      <c r="D1345" s="64">
        <v>26152</v>
      </c>
      <c r="E1345" s="38">
        <v>3.24</v>
      </c>
      <c r="F1345" s="39">
        <v>9.3213296000000003</v>
      </c>
      <c r="G1345" s="38">
        <v>0</v>
      </c>
      <c r="H1345" s="38">
        <v>0.16951947000000001</v>
      </c>
      <c r="I1345" s="38">
        <v>1.1705296999999999</v>
      </c>
      <c r="J1345" s="38">
        <v>2.4135936E-2</v>
      </c>
      <c r="K1345" s="38">
        <v>6.6736979E-3</v>
      </c>
      <c r="L1345" s="40">
        <v>10.692188403899999</v>
      </c>
    </row>
    <row r="1346" spans="1:12" hidden="1">
      <c r="A1346" s="37" t="s">
        <v>2163</v>
      </c>
      <c r="B1346" s="37"/>
      <c r="C1346" s="37" t="s">
        <v>826</v>
      </c>
      <c r="D1346" s="64">
        <v>26057</v>
      </c>
      <c r="E1346" s="38">
        <v>3.64</v>
      </c>
      <c r="F1346" s="39">
        <v>9.3213296000000003</v>
      </c>
      <c r="G1346" s="38">
        <v>0</v>
      </c>
      <c r="H1346" s="38">
        <v>0.27530876999999998</v>
      </c>
      <c r="I1346" s="38">
        <v>1.1705296999999999</v>
      </c>
      <c r="J1346" s="38">
        <v>3.7353873000000003E-2</v>
      </c>
      <c r="K1346" s="38">
        <v>6.6736979E-3</v>
      </c>
      <c r="L1346" s="40">
        <v>10.811195640900001</v>
      </c>
    </row>
    <row r="1347" spans="1:12" hidden="1">
      <c r="A1347" s="37" t="s">
        <v>2164</v>
      </c>
      <c r="B1347" s="37"/>
      <c r="C1347" s="37" t="s">
        <v>826</v>
      </c>
      <c r="D1347" s="64">
        <v>26135</v>
      </c>
      <c r="E1347" s="38">
        <v>3.64</v>
      </c>
      <c r="F1347" s="39">
        <v>9.3213296000000003</v>
      </c>
      <c r="G1347" s="38">
        <v>0</v>
      </c>
      <c r="H1347" s="38">
        <v>0.27530876999999998</v>
      </c>
      <c r="I1347" s="38">
        <v>1.1705296999999999</v>
      </c>
      <c r="J1347" s="38">
        <v>3.7353873000000003E-2</v>
      </c>
      <c r="K1347" s="38">
        <v>6.6736979E-3</v>
      </c>
      <c r="L1347" s="40">
        <v>10.811195640900001</v>
      </c>
    </row>
    <row r="1348" spans="1:12" hidden="1">
      <c r="A1348" s="37" t="s">
        <v>2165</v>
      </c>
      <c r="B1348" s="37"/>
      <c r="C1348" s="37" t="s">
        <v>873</v>
      </c>
      <c r="D1348" s="64">
        <v>26017</v>
      </c>
      <c r="E1348" s="38">
        <v>3.52</v>
      </c>
      <c r="F1348" s="39">
        <v>11.381883999999999</v>
      </c>
      <c r="G1348" s="38">
        <v>0</v>
      </c>
      <c r="H1348" s="38">
        <v>0.22504651000000001</v>
      </c>
      <c r="I1348" s="38">
        <v>1.4292847</v>
      </c>
      <c r="J1348" s="38">
        <v>4.5611246000000001E-2</v>
      </c>
      <c r="K1348" s="38">
        <v>9.4039550999999999E-2</v>
      </c>
      <c r="L1348" s="40">
        <v>13.175866007</v>
      </c>
    </row>
    <row r="1349" spans="1:12" hidden="1">
      <c r="A1349" s="37" t="s">
        <v>2166</v>
      </c>
      <c r="B1349" s="37"/>
      <c r="C1349" s="37" t="s">
        <v>782</v>
      </c>
      <c r="D1349" s="64">
        <v>26016</v>
      </c>
      <c r="E1349" s="38">
        <v>3.52</v>
      </c>
      <c r="F1349" s="39">
        <v>11.393656999999999</v>
      </c>
      <c r="G1349" s="38">
        <v>1.2618731E-3</v>
      </c>
      <c r="H1349" s="38">
        <v>0.33605898000000001</v>
      </c>
      <c r="I1349" s="38">
        <v>1.4300246999999999</v>
      </c>
      <c r="J1349" s="38">
        <v>4.5611246000000001E-2</v>
      </c>
      <c r="K1349" s="38">
        <v>0.11549598</v>
      </c>
      <c r="L1349" s="40">
        <v>13.322109779100002</v>
      </c>
    </row>
    <row r="1350" spans="1:12" hidden="1">
      <c r="A1350" s="37" t="s">
        <v>2167</v>
      </c>
      <c r="B1350" s="37"/>
      <c r="C1350" s="37" t="s">
        <v>650</v>
      </c>
      <c r="D1350" s="64">
        <v>18035</v>
      </c>
      <c r="E1350" s="38">
        <v>2.6</v>
      </c>
      <c r="F1350" s="39">
        <v>6.4760169000000006E-2</v>
      </c>
      <c r="G1350" s="38">
        <v>2.7819751E-2</v>
      </c>
      <c r="H1350" s="38">
        <v>0.17741768999999999</v>
      </c>
      <c r="I1350" s="38">
        <v>0.19871755999999999</v>
      </c>
      <c r="J1350" s="38">
        <v>3.5836186999999999E-2</v>
      </c>
      <c r="K1350" s="38">
        <v>6.6736979E-3</v>
      </c>
      <c r="L1350" s="40">
        <v>0.51122505490000003</v>
      </c>
    </row>
    <row r="1351" spans="1:12" hidden="1">
      <c r="A1351" s="37" t="s">
        <v>2168</v>
      </c>
      <c r="B1351" s="37"/>
      <c r="C1351" s="37" t="s">
        <v>650</v>
      </c>
      <c r="D1351" s="64">
        <v>18010</v>
      </c>
      <c r="E1351" s="38">
        <v>2.31</v>
      </c>
      <c r="F1351" s="39">
        <v>6.4760169000000006E-2</v>
      </c>
      <c r="G1351" s="38">
        <v>2.7819751E-2</v>
      </c>
      <c r="H1351" s="38">
        <v>0.17741768999999999</v>
      </c>
      <c r="I1351" s="38">
        <v>0.19871755999999999</v>
      </c>
      <c r="J1351" s="38">
        <v>3.5836186999999999E-2</v>
      </c>
      <c r="K1351" s="38">
        <v>6.6736979E-3</v>
      </c>
      <c r="L1351" s="40">
        <v>0.51122505490000003</v>
      </c>
    </row>
    <row r="1352" spans="1:12" hidden="1">
      <c r="A1352" s="37" t="s">
        <v>2169</v>
      </c>
      <c r="B1352" s="37"/>
      <c r="C1352" s="37" t="s">
        <v>650</v>
      </c>
      <c r="D1352" s="64">
        <v>18016</v>
      </c>
      <c r="E1352" s="38">
        <v>2.6</v>
      </c>
      <c r="F1352" s="39">
        <v>6.4760169000000006E-2</v>
      </c>
      <c r="G1352" s="38">
        <v>2.7819751E-2</v>
      </c>
      <c r="H1352" s="38">
        <v>0.17741768999999999</v>
      </c>
      <c r="I1352" s="38">
        <v>0.19871755999999999</v>
      </c>
      <c r="J1352" s="38">
        <v>3.5836186999999999E-2</v>
      </c>
      <c r="K1352" s="38">
        <v>6.6736979E-3</v>
      </c>
      <c r="L1352" s="40">
        <v>0.51122505490000003</v>
      </c>
    </row>
    <row r="1353" spans="1:12" hidden="1">
      <c r="A1353" s="37" t="s">
        <v>2170</v>
      </c>
      <c r="B1353" s="37"/>
      <c r="C1353" s="37" t="s">
        <v>637</v>
      </c>
      <c r="D1353" s="64">
        <v>15052</v>
      </c>
      <c r="E1353" s="38">
        <v>4.3600000000000003</v>
      </c>
      <c r="F1353" s="39">
        <v>0.41675637999999998</v>
      </c>
      <c r="G1353" s="38">
        <v>1.9152453</v>
      </c>
      <c r="H1353" s="38">
        <v>0.53013177</v>
      </c>
      <c r="I1353" s="38">
        <v>0.36304030999999998</v>
      </c>
      <c r="J1353" s="38">
        <v>4.5312862000000002E-2</v>
      </c>
      <c r="K1353" s="38">
        <v>0.32140418999999998</v>
      </c>
      <c r="L1353" s="40">
        <v>3.5918908119999999</v>
      </c>
    </row>
    <row r="1354" spans="1:12" hidden="1">
      <c r="A1354" s="37" t="s">
        <v>2171</v>
      </c>
      <c r="B1354" s="37"/>
      <c r="C1354" s="37" t="s">
        <v>637</v>
      </c>
      <c r="D1354" s="64">
        <v>15034</v>
      </c>
      <c r="E1354" s="38">
        <v>4.3600000000000003</v>
      </c>
      <c r="F1354" s="39">
        <v>0.41675637999999998</v>
      </c>
      <c r="G1354" s="38">
        <v>1.9152453</v>
      </c>
      <c r="H1354" s="38">
        <v>0.53013177</v>
      </c>
      <c r="I1354" s="38">
        <v>0.36304030999999998</v>
      </c>
      <c r="J1354" s="38">
        <v>4.5312862000000002E-2</v>
      </c>
      <c r="K1354" s="38">
        <v>0.32140418999999998</v>
      </c>
      <c r="L1354" s="40">
        <v>3.5918908119999999</v>
      </c>
    </row>
    <row r="1355" spans="1:12" hidden="1">
      <c r="A1355" s="37" t="s">
        <v>2172</v>
      </c>
      <c r="B1355" s="37"/>
      <c r="C1355" s="37" t="s">
        <v>826</v>
      </c>
      <c r="D1355" s="64">
        <v>26194</v>
      </c>
      <c r="E1355" s="38">
        <v>3.64</v>
      </c>
      <c r="F1355" s="39">
        <v>9.3213296000000003</v>
      </c>
      <c r="G1355" s="38">
        <v>0</v>
      </c>
      <c r="H1355" s="38">
        <v>0.27530876999999998</v>
      </c>
      <c r="I1355" s="38">
        <v>1.1705296999999999</v>
      </c>
      <c r="J1355" s="38">
        <v>3.7353873000000003E-2</v>
      </c>
      <c r="K1355" s="38">
        <v>6.6736979E-3</v>
      </c>
      <c r="L1355" s="40">
        <v>10.811195640900001</v>
      </c>
    </row>
    <row r="1356" spans="1:12" hidden="1">
      <c r="A1356" s="37" t="s">
        <v>2173</v>
      </c>
      <c r="B1356" s="37"/>
      <c r="C1356" s="37" t="s">
        <v>657</v>
      </c>
      <c r="D1356" s="64">
        <v>1003</v>
      </c>
      <c r="E1356" s="38">
        <v>3.68</v>
      </c>
      <c r="F1356" s="39">
        <v>0.39498199000000001</v>
      </c>
      <c r="G1356" s="38">
        <v>0.20933764999999999</v>
      </c>
      <c r="H1356" s="38">
        <v>0.47782284000000003</v>
      </c>
      <c r="I1356" s="38">
        <v>0.24589447</v>
      </c>
      <c r="J1356" s="38">
        <v>1.5108570999999999E-2</v>
      </c>
      <c r="K1356" s="38">
        <v>6.6736979E-3</v>
      </c>
      <c r="L1356" s="40">
        <v>1.3498192189</v>
      </c>
    </row>
    <row r="1357" spans="1:12" hidden="1">
      <c r="A1357" s="37" t="s">
        <v>2174</v>
      </c>
      <c r="B1357" s="37"/>
      <c r="C1357" s="37" t="s">
        <v>634</v>
      </c>
      <c r="D1357" s="64">
        <v>13023</v>
      </c>
      <c r="E1357" s="38">
        <v>3.12</v>
      </c>
      <c r="F1357" s="39">
        <v>0.1635442</v>
      </c>
      <c r="G1357" s="38">
        <v>0</v>
      </c>
      <c r="H1357" s="38">
        <v>0</v>
      </c>
      <c r="I1357" s="38">
        <v>0.27356253000000003</v>
      </c>
      <c r="J1357" s="38">
        <v>1.5591117999999999E-2</v>
      </c>
      <c r="K1357" s="38">
        <v>8.0351048999999994E-2</v>
      </c>
      <c r="L1357" s="40">
        <v>0.53304889700000002</v>
      </c>
    </row>
    <row r="1358" spans="1:12" hidden="1">
      <c r="A1358" s="37" t="s">
        <v>2175</v>
      </c>
      <c r="B1358" s="37"/>
      <c r="C1358" s="37" t="s">
        <v>640</v>
      </c>
      <c r="D1358" s="64">
        <v>12037</v>
      </c>
      <c r="E1358" s="38">
        <v>2.2400000000000002</v>
      </c>
      <c r="F1358" s="39">
        <v>4.5147465999999996</v>
      </c>
      <c r="G1358" s="38">
        <v>0.25575300000000001</v>
      </c>
      <c r="H1358" s="38">
        <v>0.26233268999999998</v>
      </c>
      <c r="I1358" s="38">
        <v>0.21100323000000001</v>
      </c>
      <c r="J1358" s="38">
        <v>3.5969872999999999E-2</v>
      </c>
      <c r="K1358" s="38">
        <v>6.6736979E-3</v>
      </c>
      <c r="L1358" s="40">
        <v>5.2864790909000003</v>
      </c>
    </row>
    <row r="1359" spans="1:12" hidden="1">
      <c r="A1359" s="37" t="s">
        <v>2176</v>
      </c>
      <c r="B1359" s="37"/>
      <c r="C1359" s="37" t="s">
        <v>826</v>
      </c>
      <c r="D1359" s="64">
        <v>26018</v>
      </c>
      <c r="E1359" s="38">
        <v>3.68</v>
      </c>
      <c r="F1359" s="39">
        <v>9.3213296000000003</v>
      </c>
      <c r="G1359" s="38">
        <v>0</v>
      </c>
      <c r="H1359" s="38">
        <v>0.27530876999999998</v>
      </c>
      <c r="I1359" s="38">
        <v>1.1705296999999999</v>
      </c>
      <c r="J1359" s="38">
        <v>3.7353873000000003E-2</v>
      </c>
      <c r="K1359" s="38">
        <v>6.6736979E-3</v>
      </c>
      <c r="L1359" s="40">
        <v>10.811195640900001</v>
      </c>
    </row>
    <row r="1360" spans="1:12" hidden="1">
      <c r="A1360" s="37" t="s">
        <v>2177</v>
      </c>
      <c r="B1360" s="37"/>
      <c r="C1360" s="37" t="s">
        <v>873</v>
      </c>
      <c r="D1360" s="64">
        <v>26081</v>
      </c>
      <c r="E1360" s="38">
        <v>3.56</v>
      </c>
      <c r="F1360" s="39">
        <v>11.381883999999999</v>
      </c>
      <c r="G1360" s="38">
        <v>0</v>
      </c>
      <c r="H1360" s="38">
        <v>0.22504651000000001</v>
      </c>
      <c r="I1360" s="38">
        <v>1.4292847</v>
      </c>
      <c r="J1360" s="38">
        <v>4.5611246000000001E-2</v>
      </c>
      <c r="K1360" s="38">
        <v>9.4039550999999999E-2</v>
      </c>
      <c r="L1360" s="40">
        <v>13.175866007</v>
      </c>
    </row>
    <row r="1361" spans="1:12" hidden="1">
      <c r="A1361" s="41" t="s">
        <v>2178</v>
      </c>
      <c r="B1361" s="41"/>
      <c r="C1361" s="41" t="s">
        <v>826</v>
      </c>
      <c r="D1361" s="65">
        <v>26172</v>
      </c>
      <c r="E1361" s="42">
        <v>3.68</v>
      </c>
      <c r="F1361" s="43">
        <v>9.3213296000000003</v>
      </c>
      <c r="G1361" s="42">
        <v>0</v>
      </c>
      <c r="H1361" s="42">
        <v>0.27530876999999998</v>
      </c>
      <c r="I1361" s="42">
        <v>1.1705296999999999</v>
      </c>
      <c r="J1361" s="42">
        <v>3.7353873000000003E-2</v>
      </c>
      <c r="K1361" s="42">
        <v>6.6736979E-3</v>
      </c>
      <c r="L1361" s="44">
        <v>10.811195640900001</v>
      </c>
    </row>
    <row r="1362" spans="1:12" hidden="1">
      <c r="A1362" s="37" t="s">
        <v>2179</v>
      </c>
      <c r="B1362" s="37"/>
      <c r="C1362" s="37" t="s">
        <v>1711</v>
      </c>
      <c r="D1362" s="64">
        <v>20534</v>
      </c>
      <c r="E1362" s="38">
        <v>3.66</v>
      </c>
      <c r="F1362" s="39">
        <v>0.48831186999999998</v>
      </c>
      <c r="G1362" s="38">
        <v>0</v>
      </c>
      <c r="H1362" s="38">
        <v>0.26506589000000003</v>
      </c>
      <c r="I1362" s="38">
        <v>0.35183834000000003</v>
      </c>
      <c r="J1362" s="38">
        <v>6.4800225000000003E-2</v>
      </c>
      <c r="K1362" s="38">
        <v>0</v>
      </c>
      <c r="L1362" s="40">
        <v>1.170016325</v>
      </c>
    </row>
    <row r="1363" spans="1:12" hidden="1">
      <c r="A1363" s="37" t="s">
        <v>2180</v>
      </c>
      <c r="B1363" s="37"/>
      <c r="C1363" s="37" t="s">
        <v>637</v>
      </c>
      <c r="D1363" s="64">
        <v>15032</v>
      </c>
      <c r="E1363" s="38">
        <v>4.3600000000000003</v>
      </c>
      <c r="F1363" s="39">
        <v>2.3413279999999999</v>
      </c>
      <c r="G1363" s="38">
        <v>0</v>
      </c>
      <c r="H1363" s="38">
        <v>0.53013177</v>
      </c>
      <c r="I1363" s="38">
        <v>0.26225738999999998</v>
      </c>
      <c r="J1363" s="38">
        <v>4.5312862000000002E-2</v>
      </c>
      <c r="K1363" s="38">
        <v>0.32140418999999998</v>
      </c>
      <c r="L1363" s="40">
        <v>3.5004342119999996</v>
      </c>
    </row>
    <row r="1364" spans="1:12" hidden="1">
      <c r="A1364" s="37" t="s">
        <v>2181</v>
      </c>
      <c r="B1364" s="37"/>
      <c r="C1364" s="37" t="s">
        <v>637</v>
      </c>
      <c r="D1364" s="64">
        <v>15029</v>
      </c>
      <c r="E1364" s="38">
        <v>4.87</v>
      </c>
      <c r="F1364" s="39">
        <v>2.3413279999999999</v>
      </c>
      <c r="G1364" s="38">
        <v>0</v>
      </c>
      <c r="H1364" s="38">
        <v>0.53013177</v>
      </c>
      <c r="I1364" s="38">
        <v>0.26225738999999998</v>
      </c>
      <c r="J1364" s="38">
        <v>4.5312862000000002E-2</v>
      </c>
      <c r="K1364" s="38">
        <v>0.32140418999999998</v>
      </c>
      <c r="L1364" s="40">
        <v>3.5004342119999996</v>
      </c>
    </row>
    <row r="1365" spans="1:12" hidden="1">
      <c r="A1365" s="37" t="s">
        <v>2182</v>
      </c>
      <c r="B1365" s="37"/>
      <c r="C1365" s="37" t="s">
        <v>668</v>
      </c>
      <c r="D1365" s="64">
        <v>23024</v>
      </c>
      <c r="E1365" s="38">
        <v>2.59</v>
      </c>
      <c r="F1365" s="39">
        <v>4.7770308000000004</v>
      </c>
      <c r="G1365" s="38">
        <v>0.37322314000000001</v>
      </c>
      <c r="H1365" s="38">
        <v>0.28777464000000003</v>
      </c>
      <c r="I1365" s="38">
        <v>0.22323709999999999</v>
      </c>
      <c r="J1365" s="38">
        <v>1.9437894000000001E-2</v>
      </c>
      <c r="K1365" s="38">
        <v>0</v>
      </c>
      <c r="L1365" s="40">
        <v>5.6807035740000016</v>
      </c>
    </row>
    <row r="1366" spans="1:12" hidden="1">
      <c r="A1366" s="37" t="s">
        <v>2183</v>
      </c>
      <c r="B1366" s="37"/>
      <c r="C1366" s="37" t="s">
        <v>623</v>
      </c>
      <c r="D1366" s="64">
        <v>23027</v>
      </c>
      <c r="E1366" s="38">
        <v>2.6</v>
      </c>
      <c r="F1366" s="39">
        <v>1.1454261999999999</v>
      </c>
      <c r="G1366" s="38">
        <v>0.32705294000000001</v>
      </c>
      <c r="H1366" s="38">
        <v>0.10977533</v>
      </c>
      <c r="I1366" s="38">
        <v>0.19467723000000001</v>
      </c>
      <c r="J1366" s="38">
        <v>1.9437894000000001E-2</v>
      </c>
      <c r="K1366" s="38">
        <v>0</v>
      </c>
      <c r="L1366" s="40">
        <v>1.7963695939999997</v>
      </c>
    </row>
    <row r="1367" spans="1:12" hidden="1">
      <c r="A1367" s="37" t="s">
        <v>2184</v>
      </c>
      <c r="B1367" s="37"/>
      <c r="C1367" s="37" t="s">
        <v>842</v>
      </c>
      <c r="D1367" s="64">
        <v>20051</v>
      </c>
      <c r="E1367" s="38">
        <v>2.5299999999999998</v>
      </c>
      <c r="F1367" s="39">
        <v>0.10098728999999999</v>
      </c>
      <c r="G1367" s="38">
        <v>0.20301799000000001</v>
      </c>
      <c r="H1367" s="38">
        <v>0.25915577000000001</v>
      </c>
      <c r="I1367" s="38">
        <v>0.31370035000000002</v>
      </c>
      <c r="J1367" s="38">
        <v>2.3875550999999998E-2</v>
      </c>
      <c r="K1367" s="38">
        <v>0</v>
      </c>
      <c r="L1367" s="40">
        <v>0.90073695099999995</v>
      </c>
    </row>
    <row r="1368" spans="1:12" hidden="1">
      <c r="A1368" s="37" t="s">
        <v>2185</v>
      </c>
      <c r="B1368" s="37"/>
      <c r="C1368" s="37" t="s">
        <v>842</v>
      </c>
      <c r="D1368" s="64">
        <v>20271</v>
      </c>
      <c r="E1368" s="38">
        <v>2.89</v>
      </c>
      <c r="F1368" s="39">
        <v>0.1952989</v>
      </c>
      <c r="G1368" s="38">
        <v>9.1213393000000004E-2</v>
      </c>
      <c r="H1368" s="38">
        <v>0.18031389</v>
      </c>
      <c r="I1368" s="38">
        <v>0.20321260999999999</v>
      </c>
      <c r="J1368" s="38">
        <v>6.5218400999999995E-2</v>
      </c>
      <c r="K1368" s="38">
        <v>3.6274453999999998E-2</v>
      </c>
      <c r="L1368" s="40">
        <v>0.77153164799999996</v>
      </c>
    </row>
    <row r="1369" spans="1:12" hidden="1">
      <c r="A1369" s="37" t="s">
        <v>2186</v>
      </c>
      <c r="B1369" s="37"/>
      <c r="C1369" s="37" t="s">
        <v>634</v>
      </c>
      <c r="D1369" s="64">
        <v>13708</v>
      </c>
      <c r="E1369" s="38">
        <v>2.1</v>
      </c>
      <c r="F1369" s="39">
        <v>0.16850338000000001</v>
      </c>
      <c r="G1369" s="38">
        <v>0.32398231</v>
      </c>
      <c r="H1369" s="38">
        <v>0.28322856000000002</v>
      </c>
      <c r="I1369" s="38">
        <v>0.23215103000000001</v>
      </c>
      <c r="J1369" s="38">
        <v>2.6089178000000001E-2</v>
      </c>
      <c r="K1369" s="38">
        <v>0</v>
      </c>
      <c r="L1369" s="40">
        <v>1.0339544580000002</v>
      </c>
    </row>
    <row r="1370" spans="1:12" hidden="1">
      <c r="A1370" s="37" t="s">
        <v>2187</v>
      </c>
      <c r="B1370" s="37"/>
      <c r="C1370" s="37" t="s">
        <v>634</v>
      </c>
      <c r="D1370" s="64">
        <v>13709</v>
      </c>
      <c r="E1370" s="38">
        <v>2.1</v>
      </c>
      <c r="F1370" s="39">
        <v>0.10212325999999999</v>
      </c>
      <c r="G1370" s="38">
        <v>0.19635291999999999</v>
      </c>
      <c r="H1370" s="38">
        <v>0.17146364</v>
      </c>
      <c r="I1370" s="38">
        <v>0.14069759000000001</v>
      </c>
      <c r="J1370" s="38">
        <v>1.5811623E-2</v>
      </c>
      <c r="K1370" s="38">
        <v>0</v>
      </c>
      <c r="L1370" s="40">
        <v>0.6264490330000001</v>
      </c>
    </row>
    <row r="1371" spans="1:12" hidden="1">
      <c r="A1371" s="37" t="s">
        <v>2188</v>
      </c>
      <c r="B1371" s="37"/>
      <c r="C1371" s="37" t="s">
        <v>634</v>
      </c>
      <c r="D1371" s="64">
        <v>13706</v>
      </c>
      <c r="E1371" s="38">
        <v>2.1</v>
      </c>
      <c r="F1371" s="39">
        <v>0.14689036</v>
      </c>
      <c r="G1371" s="38">
        <v>0.46808882000000002</v>
      </c>
      <c r="H1371" s="38">
        <v>0.28322856000000002</v>
      </c>
      <c r="I1371" s="38">
        <v>0.22507848</v>
      </c>
      <c r="J1371" s="38">
        <v>2.6089178000000001E-2</v>
      </c>
      <c r="K1371" s="38">
        <v>0</v>
      </c>
      <c r="L1371" s="40">
        <v>1.1493753980000001</v>
      </c>
    </row>
    <row r="1372" spans="1:12" hidden="1">
      <c r="A1372" s="37" t="s">
        <v>2189</v>
      </c>
      <c r="B1372" s="37"/>
      <c r="C1372" s="37" t="s">
        <v>634</v>
      </c>
      <c r="D1372" s="64">
        <v>13707</v>
      </c>
      <c r="E1372" s="38">
        <v>2.1</v>
      </c>
      <c r="F1372" s="39">
        <v>0.10212325999999999</v>
      </c>
      <c r="G1372" s="38">
        <v>0.19635291999999999</v>
      </c>
      <c r="H1372" s="38">
        <v>0.17146364</v>
      </c>
      <c r="I1372" s="38">
        <v>0.14069759000000001</v>
      </c>
      <c r="J1372" s="38">
        <v>1.5811623E-2</v>
      </c>
      <c r="K1372" s="38">
        <v>0</v>
      </c>
      <c r="L1372" s="40">
        <v>0.6264490330000001</v>
      </c>
    </row>
    <row r="1373" spans="1:12" hidden="1">
      <c r="A1373" s="37" t="s">
        <v>2190</v>
      </c>
      <c r="B1373" s="37"/>
      <c r="C1373" s="37" t="s">
        <v>842</v>
      </c>
      <c r="D1373" s="64">
        <v>20099</v>
      </c>
      <c r="E1373" s="38">
        <v>2.5499999999999998</v>
      </c>
      <c r="F1373" s="39">
        <v>0.30023238000000002</v>
      </c>
      <c r="G1373" s="38">
        <v>0</v>
      </c>
      <c r="H1373" s="38">
        <v>0</v>
      </c>
      <c r="I1373" s="38">
        <v>0.36475004999999999</v>
      </c>
      <c r="J1373" s="38">
        <v>6.1814329000000001E-2</v>
      </c>
      <c r="K1373" s="38">
        <v>0.21426945999999999</v>
      </c>
      <c r="L1373" s="40">
        <v>0.94106621899999998</v>
      </c>
    </row>
    <row r="1374" spans="1:12" hidden="1">
      <c r="A1374" s="37" t="s">
        <v>2191</v>
      </c>
      <c r="B1374" s="37"/>
      <c r="C1374" s="37" t="s">
        <v>668</v>
      </c>
      <c r="D1374" s="64">
        <v>24631</v>
      </c>
      <c r="E1374" s="38">
        <v>2.19</v>
      </c>
      <c r="F1374" s="39">
        <v>6.6305899999999998</v>
      </c>
      <c r="G1374" s="38">
        <v>0.34023521000000001</v>
      </c>
      <c r="H1374" s="38">
        <v>0.28781530999999999</v>
      </c>
      <c r="I1374" s="38">
        <v>0.21552238000000001</v>
      </c>
      <c r="J1374" s="38">
        <v>1.9437894000000001E-2</v>
      </c>
      <c r="K1374" s="38">
        <v>0</v>
      </c>
      <c r="L1374" s="40">
        <v>7.4936007940000007</v>
      </c>
    </row>
    <row r="1375" spans="1:12" hidden="1">
      <c r="A1375" s="37" t="s">
        <v>2192</v>
      </c>
      <c r="B1375" s="37"/>
      <c r="C1375" s="37" t="s">
        <v>668</v>
      </c>
      <c r="D1375" s="64">
        <v>24632</v>
      </c>
      <c r="E1375" s="38">
        <v>2.5499999999999998</v>
      </c>
      <c r="F1375" s="39">
        <v>0.90570821000000001</v>
      </c>
      <c r="G1375" s="38">
        <v>0.45437136</v>
      </c>
      <c r="H1375" s="38">
        <v>0.28783228</v>
      </c>
      <c r="I1375" s="38">
        <v>0.16006960000000001</v>
      </c>
      <c r="J1375" s="38">
        <v>1.9437894000000001E-2</v>
      </c>
      <c r="K1375" s="38">
        <v>0</v>
      </c>
      <c r="L1375" s="40">
        <v>1.8274193439999997</v>
      </c>
    </row>
    <row r="1376" spans="1:12" hidden="1">
      <c r="A1376" s="37" t="s">
        <v>2193</v>
      </c>
      <c r="B1376" s="37"/>
      <c r="C1376" s="37" t="s">
        <v>668</v>
      </c>
      <c r="D1376" s="64">
        <v>24630</v>
      </c>
      <c r="E1376" s="38">
        <v>2.13</v>
      </c>
      <c r="F1376" s="39">
        <v>2.8272254000000001</v>
      </c>
      <c r="G1376" s="38">
        <v>0.22902295</v>
      </c>
      <c r="H1376" s="38">
        <v>0.28783060999999999</v>
      </c>
      <c r="I1376" s="38">
        <v>0.13598566000000001</v>
      </c>
      <c r="J1376" s="38">
        <v>1.9437894000000001E-2</v>
      </c>
      <c r="K1376" s="38">
        <v>0</v>
      </c>
      <c r="L1376" s="40">
        <v>3.4995025140000005</v>
      </c>
    </row>
    <row r="1377" spans="1:12" hidden="1">
      <c r="A1377" s="41" t="s">
        <v>2194</v>
      </c>
      <c r="B1377" s="41"/>
      <c r="C1377" s="41" t="s">
        <v>842</v>
      </c>
      <c r="D1377" s="65">
        <v>20066</v>
      </c>
      <c r="E1377" s="42">
        <v>1.2</v>
      </c>
      <c r="F1377" s="43">
        <v>0.46657947</v>
      </c>
      <c r="G1377" s="42">
        <v>0.11291318</v>
      </c>
      <c r="H1377" s="42">
        <v>0.39737102000000002</v>
      </c>
      <c r="I1377" s="42">
        <v>0.32071792999999998</v>
      </c>
      <c r="J1377" s="42">
        <v>2.3542496E-2</v>
      </c>
      <c r="K1377" s="42">
        <v>0</v>
      </c>
      <c r="L1377" s="44">
        <v>1.3211240959999999</v>
      </c>
    </row>
    <row r="1378" spans="1:12" hidden="1">
      <c r="A1378" s="41" t="s">
        <v>2195</v>
      </c>
      <c r="B1378" s="41"/>
      <c r="C1378" s="41" t="s">
        <v>842</v>
      </c>
      <c r="D1378" s="65">
        <v>20049</v>
      </c>
      <c r="E1378" s="42">
        <v>2.92</v>
      </c>
      <c r="F1378" s="43">
        <v>0.62705001999999999</v>
      </c>
      <c r="G1378" s="42">
        <v>0</v>
      </c>
      <c r="H1378" s="42">
        <v>0.28002042999999999</v>
      </c>
      <c r="I1378" s="42">
        <v>0.3335497</v>
      </c>
      <c r="J1378" s="42">
        <v>1.2517599000000001E-2</v>
      </c>
      <c r="K1378" s="42">
        <v>0.19993026999999999</v>
      </c>
      <c r="L1378" s="44">
        <v>1.453068019</v>
      </c>
    </row>
    <row r="1379" spans="1:12" hidden="1">
      <c r="A1379" s="41" t="s">
        <v>2196</v>
      </c>
      <c r="B1379" s="41"/>
      <c r="C1379" s="41" t="s">
        <v>842</v>
      </c>
      <c r="D1379" s="65">
        <v>20108</v>
      </c>
      <c r="E1379" s="42">
        <v>2.67</v>
      </c>
      <c r="F1379" s="43">
        <v>0.38842779999999999</v>
      </c>
      <c r="G1379" s="42">
        <v>7.2692282999999996E-2</v>
      </c>
      <c r="H1379" s="42">
        <v>0.26232822</v>
      </c>
      <c r="I1379" s="42">
        <v>0.19184693</v>
      </c>
      <c r="J1379" s="42">
        <v>6.8654974999999993E-2</v>
      </c>
      <c r="K1379" s="42">
        <v>2.5251829999999999E-2</v>
      </c>
      <c r="L1379" s="44">
        <v>1.009202038</v>
      </c>
    </row>
    <row r="1380" spans="1:12" hidden="1">
      <c r="A1380" s="41" t="s">
        <v>2197</v>
      </c>
      <c r="B1380" s="41"/>
      <c r="C1380" s="41" t="s">
        <v>842</v>
      </c>
      <c r="D1380" s="65">
        <v>20233</v>
      </c>
      <c r="E1380" s="42">
        <v>2.69</v>
      </c>
      <c r="F1380" s="43">
        <v>0.38842779999999999</v>
      </c>
      <c r="G1380" s="42">
        <v>7.2692282999999996E-2</v>
      </c>
      <c r="H1380" s="42">
        <v>0.26232822</v>
      </c>
      <c r="I1380" s="42">
        <v>0.19184693</v>
      </c>
      <c r="J1380" s="42">
        <v>6.8654974999999993E-2</v>
      </c>
      <c r="K1380" s="42">
        <v>2.5251829999999999E-2</v>
      </c>
      <c r="L1380" s="44">
        <v>1.009202038</v>
      </c>
    </row>
    <row r="1381" spans="1:12" hidden="1">
      <c r="A1381" s="37" t="s">
        <v>2198</v>
      </c>
      <c r="B1381" s="37"/>
      <c r="C1381" s="37" t="s">
        <v>816</v>
      </c>
      <c r="D1381" s="64">
        <v>9200</v>
      </c>
      <c r="E1381" s="38">
        <v>2.85</v>
      </c>
      <c r="F1381" s="39">
        <v>0.39438297999999999</v>
      </c>
      <c r="G1381" s="38">
        <v>0</v>
      </c>
      <c r="H1381" s="38">
        <v>0.26506589000000003</v>
      </c>
      <c r="I1381" s="38">
        <v>0.13112868999999999</v>
      </c>
      <c r="J1381" s="38">
        <v>1.9908241E-2</v>
      </c>
      <c r="K1381" s="38">
        <v>0</v>
      </c>
      <c r="L1381" s="40">
        <v>0.81048580100000001</v>
      </c>
    </row>
    <row r="1382" spans="1:12" hidden="1">
      <c r="A1382" s="37" t="s">
        <v>2199</v>
      </c>
      <c r="B1382" s="37"/>
      <c r="C1382" s="37" t="s">
        <v>634</v>
      </c>
      <c r="D1382" s="64">
        <v>13024</v>
      </c>
      <c r="E1382" s="38">
        <v>2.46</v>
      </c>
      <c r="F1382" s="39">
        <v>4.6518992999999998E-3</v>
      </c>
      <c r="G1382" s="38">
        <v>0</v>
      </c>
      <c r="H1382" s="38">
        <v>0</v>
      </c>
      <c r="I1382" s="38">
        <v>0.32460128999999999</v>
      </c>
      <c r="J1382" s="38">
        <v>1.3134063E-2</v>
      </c>
      <c r="K1382" s="38">
        <v>8.0351048999999994E-2</v>
      </c>
      <c r="L1382" s="40">
        <v>0.42273830129999995</v>
      </c>
    </row>
    <row r="1383" spans="1:12" hidden="1">
      <c r="A1383" s="37" t="s">
        <v>2200</v>
      </c>
      <c r="B1383" s="37"/>
      <c r="C1383" s="37" t="s">
        <v>634</v>
      </c>
      <c r="D1383" s="64">
        <v>13025</v>
      </c>
      <c r="E1383" s="38">
        <v>2.79</v>
      </c>
      <c r="F1383" s="39">
        <v>0.1635442</v>
      </c>
      <c r="G1383" s="38">
        <v>0</v>
      </c>
      <c r="H1383" s="38">
        <v>0</v>
      </c>
      <c r="I1383" s="38">
        <v>10.382059</v>
      </c>
      <c r="J1383" s="38">
        <v>1.5591117999999999E-2</v>
      </c>
      <c r="K1383" s="38">
        <v>8.0351048999999994E-2</v>
      </c>
      <c r="L1383" s="40">
        <v>10.641545367000001</v>
      </c>
    </row>
    <row r="1384" spans="1:12" hidden="1">
      <c r="A1384" s="37" t="s">
        <v>2201</v>
      </c>
      <c r="B1384" s="37"/>
      <c r="C1384" s="37" t="s">
        <v>634</v>
      </c>
      <c r="D1384" s="64">
        <v>13025</v>
      </c>
      <c r="E1384" s="38">
        <v>2.79</v>
      </c>
      <c r="F1384" s="39">
        <v>0.16370773999999999</v>
      </c>
      <c r="G1384" s="38">
        <v>0</v>
      </c>
      <c r="H1384" s="38">
        <v>0</v>
      </c>
      <c r="I1384" s="38">
        <v>0.43034527</v>
      </c>
      <c r="J1384" s="38">
        <v>1.5591117999999999E-2</v>
      </c>
      <c r="K1384" s="38">
        <v>8.0351048999999994E-2</v>
      </c>
      <c r="L1384" s="40">
        <v>0.68999517700000002</v>
      </c>
    </row>
    <row r="1385" spans="1:12" hidden="1">
      <c r="A1385" s="37" t="s">
        <v>2202</v>
      </c>
      <c r="B1385" s="37"/>
      <c r="C1385" s="37" t="s">
        <v>628</v>
      </c>
      <c r="D1385" s="64">
        <v>54031</v>
      </c>
      <c r="E1385" s="38">
        <v>2.6</v>
      </c>
      <c r="F1385" s="39">
        <v>0.13560986999999999</v>
      </c>
      <c r="G1385" s="38">
        <v>0</v>
      </c>
      <c r="H1385" s="38">
        <v>0</v>
      </c>
      <c r="I1385" s="38">
        <v>0.35530341999999998</v>
      </c>
      <c r="J1385" s="38">
        <v>1.0751711000000001E-2</v>
      </c>
      <c r="K1385" s="38">
        <v>3.2140419000000003E-2</v>
      </c>
      <c r="L1385" s="40">
        <v>0.53380541999999997</v>
      </c>
    </row>
    <row r="1386" spans="1:12" hidden="1">
      <c r="A1386" s="37" t="s">
        <v>2203</v>
      </c>
      <c r="B1386" s="37"/>
      <c r="C1386" s="37" t="s">
        <v>628</v>
      </c>
      <c r="D1386" s="64">
        <v>54034</v>
      </c>
      <c r="E1386" s="38">
        <v>2.95</v>
      </c>
      <c r="F1386" s="39">
        <v>0.19503324999999999</v>
      </c>
      <c r="G1386" s="38">
        <v>0</v>
      </c>
      <c r="H1386" s="38">
        <v>0</v>
      </c>
      <c r="I1386" s="38">
        <v>0.51099510999999997</v>
      </c>
      <c r="J1386" s="38">
        <v>1.5463042E-2</v>
      </c>
      <c r="K1386" s="38">
        <v>0.13820644000000001</v>
      </c>
      <c r="L1386" s="40">
        <v>0.85969784199999999</v>
      </c>
    </row>
    <row r="1387" spans="1:12" hidden="1">
      <c r="A1387" s="37" t="s">
        <v>2204</v>
      </c>
      <c r="B1387" s="37"/>
      <c r="C1387" s="37" t="s">
        <v>826</v>
      </c>
      <c r="D1387" s="64">
        <v>26102</v>
      </c>
      <c r="E1387" s="38">
        <v>3.57</v>
      </c>
      <c r="F1387" s="39">
        <v>1.053947</v>
      </c>
      <c r="G1387" s="38">
        <v>0</v>
      </c>
      <c r="H1387" s="38">
        <v>0.27530876999999998</v>
      </c>
      <c r="I1387" s="38">
        <v>0.87421431999999999</v>
      </c>
      <c r="J1387" s="38">
        <v>3.7353873000000003E-2</v>
      </c>
      <c r="K1387" s="38">
        <v>6.6736979E-3</v>
      </c>
      <c r="L1387" s="40">
        <v>2.2474976609000001</v>
      </c>
    </row>
    <row r="1388" spans="1:12" hidden="1">
      <c r="A1388" s="37" t="s">
        <v>2205</v>
      </c>
      <c r="B1388" s="37"/>
      <c r="C1388" s="37" t="s">
        <v>782</v>
      </c>
      <c r="D1388" s="64">
        <v>26123</v>
      </c>
      <c r="E1388" s="38">
        <v>3.1</v>
      </c>
      <c r="F1388" s="39">
        <v>2.1618108999999999</v>
      </c>
      <c r="G1388" s="38">
        <v>0.62872287999999998</v>
      </c>
      <c r="H1388" s="38">
        <v>4.1064151999999998</v>
      </c>
      <c r="I1388" s="38">
        <v>1.4909578000000001</v>
      </c>
      <c r="J1388" s="38">
        <v>2.2468317000000002E-2</v>
      </c>
      <c r="K1388" s="38">
        <v>5.4910610999999998E-2</v>
      </c>
      <c r="L1388" s="40">
        <v>8.4652857079999997</v>
      </c>
    </row>
    <row r="1389" spans="1:12" hidden="1">
      <c r="A1389" s="37" t="s">
        <v>2206</v>
      </c>
      <c r="B1389" s="37"/>
      <c r="C1389" s="37" t="s">
        <v>826</v>
      </c>
      <c r="D1389" s="64">
        <v>26051</v>
      </c>
      <c r="E1389" s="38">
        <v>3.57</v>
      </c>
      <c r="F1389" s="39">
        <v>1.053947</v>
      </c>
      <c r="G1389" s="38">
        <v>0</v>
      </c>
      <c r="H1389" s="38">
        <v>0.27530876999999998</v>
      </c>
      <c r="I1389" s="38">
        <v>0.87421431999999999</v>
      </c>
      <c r="J1389" s="38">
        <v>3.7353873000000003E-2</v>
      </c>
      <c r="K1389" s="38">
        <v>6.6736979E-3</v>
      </c>
      <c r="L1389" s="40">
        <v>2.2474976609000001</v>
      </c>
    </row>
    <row r="1390" spans="1:12" hidden="1">
      <c r="A1390" s="37" t="s">
        <v>2207</v>
      </c>
      <c r="B1390" s="37"/>
      <c r="C1390" s="37" t="s">
        <v>782</v>
      </c>
      <c r="D1390" s="64">
        <v>26097</v>
      </c>
      <c r="E1390" s="38">
        <v>3.1</v>
      </c>
      <c r="F1390" s="39">
        <v>2.1618108999999999</v>
      </c>
      <c r="G1390" s="38">
        <v>0.62872287999999998</v>
      </c>
      <c r="H1390" s="38">
        <v>4.1064151999999998</v>
      </c>
      <c r="I1390" s="38">
        <v>1.4918757</v>
      </c>
      <c r="J1390" s="38">
        <v>2.2468317000000002E-2</v>
      </c>
      <c r="K1390" s="38">
        <v>5.4910610999999998E-2</v>
      </c>
      <c r="L1390" s="40">
        <v>8.4662036079999989</v>
      </c>
    </row>
    <row r="1391" spans="1:12" hidden="1">
      <c r="A1391" s="37" t="s">
        <v>2208</v>
      </c>
      <c r="B1391" s="37"/>
      <c r="C1391" s="37" t="s">
        <v>782</v>
      </c>
      <c r="D1391" s="64">
        <v>26096</v>
      </c>
      <c r="E1391" s="38">
        <v>3.1</v>
      </c>
      <c r="F1391" s="39">
        <v>2.1618108999999999</v>
      </c>
      <c r="G1391" s="38">
        <v>0.62872287999999998</v>
      </c>
      <c r="H1391" s="38">
        <v>4.1064151999999998</v>
      </c>
      <c r="I1391" s="38">
        <v>1.4918757</v>
      </c>
      <c r="J1391" s="38">
        <v>2.2468317000000002E-2</v>
      </c>
      <c r="K1391" s="38">
        <v>5.4910610999999998E-2</v>
      </c>
      <c r="L1391" s="40">
        <v>8.4662036079999989</v>
      </c>
    </row>
    <row r="1392" spans="1:12" hidden="1">
      <c r="A1392" s="37" t="s">
        <v>2209</v>
      </c>
      <c r="B1392" s="37"/>
      <c r="C1392" s="37" t="s">
        <v>782</v>
      </c>
      <c r="D1392" s="64">
        <v>26086</v>
      </c>
      <c r="E1392" s="38">
        <v>3.1</v>
      </c>
      <c r="F1392" s="39">
        <v>2.1618108999999999</v>
      </c>
      <c r="G1392" s="38">
        <v>0.62872287999999998</v>
      </c>
      <c r="H1392" s="38">
        <v>4.1064151999999998</v>
      </c>
      <c r="I1392" s="38">
        <v>1.4918757</v>
      </c>
      <c r="J1392" s="38">
        <v>2.2468317000000002E-2</v>
      </c>
      <c r="K1392" s="38">
        <v>5.4910610999999998E-2</v>
      </c>
      <c r="L1392" s="40">
        <v>8.4662036079999989</v>
      </c>
    </row>
    <row r="1393" spans="1:12" hidden="1">
      <c r="A1393" s="37" t="s">
        <v>2210</v>
      </c>
      <c r="B1393" s="37"/>
      <c r="C1393" s="37" t="s">
        <v>873</v>
      </c>
      <c r="D1393" s="64">
        <v>26020</v>
      </c>
      <c r="E1393" s="38">
        <v>3.46</v>
      </c>
      <c r="F1393" s="39">
        <v>1.2987028</v>
      </c>
      <c r="G1393" s="38">
        <v>1.2618731E-3</v>
      </c>
      <c r="H1393" s="38">
        <v>0.22495896000000001</v>
      </c>
      <c r="I1393" s="38">
        <v>1.0682064</v>
      </c>
      <c r="J1393" s="38">
        <v>4.5611246000000001E-2</v>
      </c>
      <c r="K1393" s="38">
        <v>0.11549598</v>
      </c>
      <c r="L1393" s="40">
        <v>2.7542372590999999</v>
      </c>
    </row>
    <row r="1394" spans="1:12" hidden="1">
      <c r="A1394" s="37" t="s">
        <v>2211</v>
      </c>
      <c r="B1394" s="37"/>
      <c r="C1394" s="37" t="s">
        <v>873</v>
      </c>
      <c r="D1394" s="64">
        <v>26087</v>
      </c>
      <c r="E1394" s="38">
        <v>3.1</v>
      </c>
      <c r="F1394" s="39">
        <v>1.053947</v>
      </c>
      <c r="G1394" s="38">
        <v>0</v>
      </c>
      <c r="H1394" s="38">
        <v>0.16951947000000001</v>
      </c>
      <c r="I1394" s="38">
        <v>0.87421431999999999</v>
      </c>
      <c r="J1394" s="38">
        <v>2.4135936E-2</v>
      </c>
      <c r="K1394" s="38">
        <v>6.6736979E-3</v>
      </c>
      <c r="L1394" s="40">
        <v>2.1284904239000002</v>
      </c>
    </row>
    <row r="1395" spans="1:12" hidden="1">
      <c r="A1395" s="37" t="s">
        <v>2212</v>
      </c>
      <c r="B1395" s="37"/>
      <c r="C1395" s="37" t="s">
        <v>782</v>
      </c>
      <c r="D1395" s="64">
        <v>26186</v>
      </c>
      <c r="E1395" s="38">
        <v>3.78</v>
      </c>
      <c r="F1395" s="39">
        <v>1.053947</v>
      </c>
      <c r="G1395" s="38">
        <v>0</v>
      </c>
      <c r="H1395" s="38">
        <v>0.27530876999999998</v>
      </c>
      <c r="I1395" s="38">
        <v>0.87421431999999999</v>
      </c>
      <c r="J1395" s="38">
        <v>3.7353873000000003E-2</v>
      </c>
      <c r="K1395" s="38">
        <v>6.6736979E-3</v>
      </c>
      <c r="L1395" s="40">
        <v>2.2474976609000001</v>
      </c>
    </row>
    <row r="1396" spans="1:12" hidden="1">
      <c r="A1396" s="37" t="s">
        <v>2213</v>
      </c>
      <c r="B1396" s="37"/>
      <c r="C1396" s="37" t="s">
        <v>873</v>
      </c>
      <c r="D1396" s="64">
        <v>26019</v>
      </c>
      <c r="E1396" s="38">
        <v>3.46</v>
      </c>
      <c r="F1396" s="39">
        <v>1.2869303999999999</v>
      </c>
      <c r="G1396" s="38">
        <v>0</v>
      </c>
      <c r="H1396" s="38">
        <v>0.22504651000000001</v>
      </c>
      <c r="I1396" s="38">
        <v>1.0674664</v>
      </c>
      <c r="J1396" s="38">
        <v>4.5611246000000001E-2</v>
      </c>
      <c r="K1396" s="38">
        <v>9.4039550999999999E-2</v>
      </c>
      <c r="L1396" s="40">
        <v>2.7190941070000001</v>
      </c>
    </row>
    <row r="1397" spans="1:12" hidden="1">
      <c r="A1397" s="37" t="s">
        <v>2214</v>
      </c>
      <c r="B1397" s="37"/>
      <c r="C1397" s="37" t="s">
        <v>807</v>
      </c>
      <c r="D1397" s="64">
        <v>11034</v>
      </c>
      <c r="E1397" s="38">
        <v>3.75</v>
      </c>
      <c r="F1397" s="39">
        <v>0.88036652999999998</v>
      </c>
      <c r="G1397" s="38">
        <v>0</v>
      </c>
      <c r="H1397" s="38">
        <v>0.47782284000000003</v>
      </c>
      <c r="I1397" s="38">
        <v>0.17533238000000001</v>
      </c>
      <c r="J1397" s="38">
        <v>1.5675970000000001E-2</v>
      </c>
      <c r="K1397" s="38">
        <v>0</v>
      </c>
      <c r="L1397" s="40">
        <v>1.54919772</v>
      </c>
    </row>
    <row r="1398" spans="1:12" hidden="1">
      <c r="A1398" s="37" t="s">
        <v>2215</v>
      </c>
      <c r="B1398" s="37"/>
      <c r="C1398" s="37" t="s">
        <v>1403</v>
      </c>
      <c r="D1398" s="64">
        <v>31039</v>
      </c>
      <c r="E1398" s="38">
        <v>3.03</v>
      </c>
      <c r="F1398" s="39">
        <v>0.13420012000000001</v>
      </c>
      <c r="G1398" s="38">
        <v>0.21646447999999999</v>
      </c>
      <c r="H1398" s="38">
        <v>0.52557377000000005</v>
      </c>
      <c r="I1398" s="38">
        <v>0.20162695999999999</v>
      </c>
      <c r="J1398" s="38">
        <v>2.7354165E-2</v>
      </c>
      <c r="K1398" s="38">
        <v>6.6736979E-3</v>
      </c>
      <c r="L1398" s="40">
        <v>1.1118931929</v>
      </c>
    </row>
    <row r="1399" spans="1:12" hidden="1">
      <c r="A1399" s="37" t="s">
        <v>2216</v>
      </c>
      <c r="B1399" s="37"/>
      <c r="C1399" s="37" t="s">
        <v>640</v>
      </c>
      <c r="D1399" s="64">
        <v>12030</v>
      </c>
      <c r="E1399" s="38">
        <v>2.2400000000000002</v>
      </c>
      <c r="F1399" s="39">
        <v>4.6547821000000003</v>
      </c>
      <c r="G1399" s="38">
        <v>0.24770482999999999</v>
      </c>
      <c r="H1399" s="38">
        <v>0.26233268999999998</v>
      </c>
      <c r="I1399" s="38">
        <v>0.21100323000000001</v>
      </c>
      <c r="J1399" s="38">
        <v>3.5969872999999999E-2</v>
      </c>
      <c r="K1399" s="38">
        <v>6.6736979E-3</v>
      </c>
      <c r="L1399" s="40">
        <v>5.4184664209000006</v>
      </c>
    </row>
    <row r="1400" spans="1:12" hidden="1">
      <c r="A1400" s="37" t="s">
        <v>2217</v>
      </c>
      <c r="B1400" s="37"/>
      <c r="C1400" s="37" t="s">
        <v>640</v>
      </c>
      <c r="D1400" s="64">
        <v>12029</v>
      </c>
      <c r="E1400" s="38">
        <v>2.2400000000000002</v>
      </c>
      <c r="F1400" s="39">
        <v>4.5414585000000001</v>
      </c>
      <c r="G1400" s="38">
        <v>0.25441163999999999</v>
      </c>
      <c r="H1400" s="38">
        <v>0.26233268999999998</v>
      </c>
      <c r="I1400" s="38">
        <v>0.21100323000000001</v>
      </c>
      <c r="J1400" s="38">
        <v>3.5969872999999999E-2</v>
      </c>
      <c r="K1400" s="38">
        <v>6.6736979E-3</v>
      </c>
      <c r="L1400" s="40">
        <v>5.3118496309000003</v>
      </c>
    </row>
    <row r="1401" spans="1:12" hidden="1">
      <c r="A1401" s="37" t="s">
        <v>2218</v>
      </c>
      <c r="B1401" s="37"/>
      <c r="C1401" s="37" t="s">
        <v>640</v>
      </c>
      <c r="D1401" s="64">
        <v>12036</v>
      </c>
      <c r="E1401" s="38">
        <v>2.2400000000000002</v>
      </c>
      <c r="F1401" s="39">
        <v>4.6469667000000001</v>
      </c>
      <c r="G1401" s="38">
        <v>0.24859907000000001</v>
      </c>
      <c r="H1401" s="38">
        <v>0.26233268999999998</v>
      </c>
      <c r="I1401" s="38">
        <v>0.21100323000000001</v>
      </c>
      <c r="J1401" s="38">
        <v>3.5969872999999999E-2</v>
      </c>
      <c r="K1401" s="38">
        <v>6.6736979E-3</v>
      </c>
      <c r="L1401" s="40">
        <v>5.4115452609000005</v>
      </c>
    </row>
    <row r="1402" spans="1:12" hidden="1">
      <c r="A1402" s="37" t="s">
        <v>2219</v>
      </c>
      <c r="B1402" s="37"/>
      <c r="C1402" s="37" t="s">
        <v>657</v>
      </c>
      <c r="D1402" s="64">
        <v>1015</v>
      </c>
      <c r="E1402" s="38">
        <v>3.41</v>
      </c>
      <c r="F1402" s="39">
        <v>0.28869136000000001</v>
      </c>
      <c r="G1402" s="38">
        <v>0.12484795999999999</v>
      </c>
      <c r="H1402" s="38">
        <v>0.56487392000000003</v>
      </c>
      <c r="I1402" s="38">
        <v>0.18988631</v>
      </c>
      <c r="J1402" s="38">
        <v>1.5108570999999999E-2</v>
      </c>
      <c r="K1402" s="38">
        <v>6.6736979E-3</v>
      </c>
      <c r="L1402" s="40">
        <v>1.1900818189</v>
      </c>
    </row>
    <row r="1403" spans="1:12" hidden="1">
      <c r="A1403" s="37" t="s">
        <v>2220</v>
      </c>
      <c r="B1403" s="37"/>
      <c r="C1403" s="37" t="s">
        <v>912</v>
      </c>
      <c r="D1403" s="64">
        <v>16713</v>
      </c>
      <c r="E1403" s="38">
        <v>3.65</v>
      </c>
      <c r="F1403" s="39">
        <v>3.8523616999999999</v>
      </c>
      <c r="G1403" s="38">
        <v>0.10779477</v>
      </c>
      <c r="H1403" s="38">
        <v>0.18031662000000001</v>
      </c>
      <c r="I1403" s="38">
        <v>0.28785775000000002</v>
      </c>
      <c r="J1403" s="38">
        <v>3.946786E-2</v>
      </c>
      <c r="K1403" s="38">
        <v>6.6736979E-3</v>
      </c>
      <c r="L1403" s="40">
        <v>4.4744723978999996</v>
      </c>
    </row>
    <row r="1404" spans="1:12" hidden="1">
      <c r="A1404" s="37" t="s">
        <v>2221</v>
      </c>
      <c r="B1404" s="37"/>
      <c r="C1404" s="37" t="s">
        <v>912</v>
      </c>
      <c r="D1404" s="64">
        <v>16712</v>
      </c>
      <c r="E1404" s="38">
        <v>3.65</v>
      </c>
      <c r="F1404" s="39">
        <v>4.4210832</v>
      </c>
      <c r="G1404" s="38">
        <v>9.8966755000000003E-2</v>
      </c>
      <c r="H1404" s="38">
        <v>0.18031662000000001</v>
      </c>
      <c r="I1404" s="38">
        <v>0.27933049999999998</v>
      </c>
      <c r="J1404" s="38">
        <v>3.946786E-2</v>
      </c>
      <c r="K1404" s="38">
        <v>6.6736979E-3</v>
      </c>
      <c r="L1404" s="40">
        <v>5.0258386329000011</v>
      </c>
    </row>
    <row r="1405" spans="1:12" hidden="1">
      <c r="A1405" s="37" t="s">
        <v>2222</v>
      </c>
      <c r="B1405" s="37"/>
      <c r="C1405" s="37" t="s">
        <v>2223</v>
      </c>
      <c r="D1405" s="64">
        <v>16743</v>
      </c>
      <c r="E1405" s="38">
        <v>3.22</v>
      </c>
      <c r="F1405" s="39">
        <v>2.3944960000000002</v>
      </c>
      <c r="G1405" s="38">
        <v>0.28459163999999998</v>
      </c>
      <c r="H1405" s="38">
        <v>0.18031662000000001</v>
      </c>
      <c r="I1405" s="38">
        <v>0.25063869999999999</v>
      </c>
      <c r="J1405" s="38">
        <v>3.7461757999999998E-2</v>
      </c>
      <c r="K1405" s="38">
        <v>6.6736979E-3</v>
      </c>
      <c r="L1405" s="40">
        <v>3.1541784159000006</v>
      </c>
    </row>
    <row r="1406" spans="1:12" hidden="1">
      <c r="A1406" s="37" t="s">
        <v>2224</v>
      </c>
      <c r="B1406" s="37"/>
      <c r="C1406" s="37" t="s">
        <v>2223</v>
      </c>
      <c r="D1406" s="64">
        <v>16744</v>
      </c>
      <c r="E1406" s="38">
        <v>3.22</v>
      </c>
      <c r="F1406" s="39">
        <v>2.3944960000000002</v>
      </c>
      <c r="G1406" s="38">
        <v>0.28459163999999998</v>
      </c>
      <c r="H1406" s="38">
        <v>0.18031662000000001</v>
      </c>
      <c r="I1406" s="38">
        <v>0.25063869999999999</v>
      </c>
      <c r="J1406" s="38">
        <v>3.7461757999999998E-2</v>
      </c>
      <c r="K1406" s="38">
        <v>6.6736979E-3</v>
      </c>
      <c r="L1406" s="40">
        <v>3.1541784159000006</v>
      </c>
    </row>
    <row r="1407" spans="1:12" hidden="1">
      <c r="A1407" s="37" t="s">
        <v>2225</v>
      </c>
      <c r="B1407" s="37"/>
      <c r="C1407" s="37" t="s">
        <v>2223</v>
      </c>
      <c r="D1407" s="64">
        <v>16745</v>
      </c>
      <c r="E1407" s="38">
        <v>3.22</v>
      </c>
      <c r="F1407" s="39">
        <v>1.8929251</v>
      </c>
      <c r="G1407" s="38">
        <v>0.29300148999999998</v>
      </c>
      <c r="H1407" s="38">
        <v>0.18031662000000001</v>
      </c>
      <c r="I1407" s="38">
        <v>0.25876202999999998</v>
      </c>
      <c r="J1407" s="38">
        <v>3.7461757999999998E-2</v>
      </c>
      <c r="K1407" s="38">
        <v>6.6736979E-3</v>
      </c>
      <c r="L1407" s="40">
        <v>2.6691406959000004</v>
      </c>
    </row>
    <row r="1408" spans="1:12" hidden="1">
      <c r="A1408" s="37" t="s">
        <v>2226</v>
      </c>
      <c r="B1408" s="37"/>
      <c r="C1408" s="37" t="s">
        <v>2223</v>
      </c>
      <c r="D1408" s="64">
        <v>16746</v>
      </c>
      <c r="E1408" s="38">
        <v>3.22</v>
      </c>
      <c r="F1408" s="39">
        <v>1.8929251</v>
      </c>
      <c r="G1408" s="38">
        <v>0.29300148999999998</v>
      </c>
      <c r="H1408" s="38">
        <v>0.18031662000000001</v>
      </c>
      <c r="I1408" s="38">
        <v>0.25876202999999998</v>
      </c>
      <c r="J1408" s="38">
        <v>3.7461757999999998E-2</v>
      </c>
      <c r="K1408" s="38">
        <v>6.6736979E-3</v>
      </c>
      <c r="L1408" s="40">
        <v>2.6691406959000004</v>
      </c>
    </row>
    <row r="1409" spans="1:12" hidden="1">
      <c r="A1409" s="41" t="s">
        <v>2227</v>
      </c>
      <c r="B1409" s="41"/>
      <c r="C1409" s="41" t="s">
        <v>921</v>
      </c>
      <c r="D1409" s="65">
        <v>16080</v>
      </c>
      <c r="E1409" s="42">
        <v>3.31</v>
      </c>
      <c r="F1409" s="43">
        <v>0.36123184000000003</v>
      </c>
      <c r="G1409" s="42">
        <v>1.2656456</v>
      </c>
      <c r="H1409" s="42">
        <v>0.18086906</v>
      </c>
      <c r="I1409" s="42">
        <v>0.37992305999999998</v>
      </c>
      <c r="J1409" s="42">
        <v>3.765454E-2</v>
      </c>
      <c r="K1409" s="42">
        <v>6.6736979E-3</v>
      </c>
      <c r="L1409" s="44">
        <v>2.2319977979000005</v>
      </c>
    </row>
    <row r="1410" spans="1:12" hidden="1">
      <c r="A1410" s="41" t="s">
        <v>2228</v>
      </c>
      <c r="B1410" s="41"/>
      <c r="C1410" s="41" t="s">
        <v>2223</v>
      </c>
      <c r="D1410" s="65">
        <v>16742</v>
      </c>
      <c r="E1410" s="42">
        <v>2.5099999999999998</v>
      </c>
      <c r="F1410" s="43">
        <v>1.5554996000000001</v>
      </c>
      <c r="G1410" s="42">
        <v>0.18597922</v>
      </c>
      <c r="H1410" s="42">
        <v>0.18031662000000001</v>
      </c>
      <c r="I1410" s="42">
        <v>0.35228376</v>
      </c>
      <c r="J1410" s="42">
        <v>3.7461757999999998E-2</v>
      </c>
      <c r="K1410" s="42">
        <v>6.6736979E-3</v>
      </c>
      <c r="L1410" s="44">
        <v>2.3182146559000003</v>
      </c>
    </row>
    <row r="1411" spans="1:12" hidden="1">
      <c r="A1411" s="41" t="s">
        <v>2229</v>
      </c>
      <c r="B1411" s="41"/>
      <c r="C1411" s="41" t="s">
        <v>2223</v>
      </c>
      <c r="D1411" s="65">
        <v>16738</v>
      </c>
      <c r="E1411" s="42">
        <v>2.5099999999999998</v>
      </c>
      <c r="F1411" s="43">
        <v>2.1962269999999999</v>
      </c>
      <c r="G1411" s="42">
        <v>0.30098133999999999</v>
      </c>
      <c r="H1411" s="42">
        <v>0.18031662000000001</v>
      </c>
      <c r="I1411" s="42">
        <v>0.43014544999999998</v>
      </c>
      <c r="J1411" s="42">
        <v>3.7461757999999998E-2</v>
      </c>
      <c r="K1411" s="42">
        <v>6.6736979E-3</v>
      </c>
      <c r="L1411" s="44">
        <v>3.1518058659000001</v>
      </c>
    </row>
    <row r="1412" spans="1:12" hidden="1">
      <c r="A1412" s="41" t="s">
        <v>2230</v>
      </c>
      <c r="B1412" s="41"/>
      <c r="C1412" s="41" t="s">
        <v>2223</v>
      </c>
      <c r="D1412" s="65">
        <v>16740</v>
      </c>
      <c r="E1412" s="42">
        <v>2.5099999999999998</v>
      </c>
      <c r="F1412" s="43">
        <v>2.0992589000000001</v>
      </c>
      <c r="G1412" s="42">
        <v>0.28340626000000002</v>
      </c>
      <c r="H1412" s="42">
        <v>0.18031662000000001</v>
      </c>
      <c r="I1412" s="42">
        <v>0.41834027000000001</v>
      </c>
      <c r="J1412" s="42">
        <v>3.7461757999999998E-2</v>
      </c>
      <c r="K1412" s="42">
        <v>6.6736979E-3</v>
      </c>
      <c r="L1412" s="44">
        <v>3.0254575059000004</v>
      </c>
    </row>
    <row r="1413" spans="1:12" hidden="1">
      <c r="A1413" s="41" t="s">
        <v>2231</v>
      </c>
      <c r="B1413" s="41"/>
      <c r="C1413" s="41" t="s">
        <v>2223</v>
      </c>
      <c r="D1413" s="65">
        <v>16741</v>
      </c>
      <c r="E1413" s="42">
        <v>3.31</v>
      </c>
      <c r="F1413" s="43">
        <v>0.49355779999999999</v>
      </c>
      <c r="G1413" s="42">
        <v>0.76371473999999995</v>
      </c>
      <c r="H1413" s="42">
        <v>0.18031662000000001</v>
      </c>
      <c r="I1413" s="42">
        <v>0.32295137000000002</v>
      </c>
      <c r="J1413" s="42">
        <v>3.7461757999999998E-2</v>
      </c>
      <c r="K1413" s="42">
        <v>6.6736979E-3</v>
      </c>
      <c r="L1413" s="44">
        <v>1.8046759858999999</v>
      </c>
    </row>
    <row r="1414" spans="1:12" hidden="1">
      <c r="A1414" s="41" t="s">
        <v>2232</v>
      </c>
      <c r="B1414" s="41"/>
      <c r="C1414" s="41" t="s">
        <v>2223</v>
      </c>
      <c r="D1414" s="65">
        <v>16739</v>
      </c>
      <c r="E1414" s="42">
        <v>3.31</v>
      </c>
      <c r="F1414" s="43">
        <v>0.50324210999999996</v>
      </c>
      <c r="G1414" s="42">
        <v>0.81238098000000003</v>
      </c>
      <c r="H1414" s="42">
        <v>0.18031662000000001</v>
      </c>
      <c r="I1414" s="42">
        <v>0.33036289000000002</v>
      </c>
      <c r="J1414" s="42">
        <v>3.7461757999999998E-2</v>
      </c>
      <c r="K1414" s="42">
        <v>6.6736979E-3</v>
      </c>
      <c r="L1414" s="44">
        <v>1.8704380558999998</v>
      </c>
    </row>
    <row r="1415" spans="1:12" hidden="1">
      <c r="A1415" s="41" t="s">
        <v>2233</v>
      </c>
      <c r="B1415" s="41"/>
      <c r="C1415" s="41" t="s">
        <v>2223</v>
      </c>
      <c r="D1415" s="65">
        <v>16737</v>
      </c>
      <c r="E1415" s="42">
        <v>3.31</v>
      </c>
      <c r="F1415" s="43">
        <v>0.49445057999999997</v>
      </c>
      <c r="G1415" s="42">
        <v>0.76815255999999998</v>
      </c>
      <c r="H1415" s="42">
        <v>0.18031662000000001</v>
      </c>
      <c r="I1415" s="42">
        <v>0.32362745999999998</v>
      </c>
      <c r="J1415" s="42">
        <v>3.7461757999999998E-2</v>
      </c>
      <c r="K1415" s="42">
        <v>6.6736979E-3</v>
      </c>
      <c r="L1415" s="44">
        <v>1.8106826758999999</v>
      </c>
    </row>
    <row r="1416" spans="1:12" hidden="1">
      <c r="A1416" s="41" t="s">
        <v>2234</v>
      </c>
      <c r="B1416" s="41"/>
      <c r="C1416" s="41" t="s">
        <v>2223</v>
      </c>
      <c r="D1416" s="65">
        <v>16654</v>
      </c>
      <c r="E1416" s="42">
        <v>3.31</v>
      </c>
      <c r="F1416" s="43">
        <v>0.67672578999999999</v>
      </c>
      <c r="G1416" s="42">
        <v>0.79752835</v>
      </c>
      <c r="H1416" s="42">
        <v>0.18031662000000001</v>
      </c>
      <c r="I1416" s="42">
        <v>0.34334308000000002</v>
      </c>
      <c r="J1416" s="42">
        <v>3.7461757999999998E-2</v>
      </c>
      <c r="K1416" s="42">
        <v>6.6736979E-3</v>
      </c>
      <c r="L1416" s="44">
        <v>2.0420492959000001</v>
      </c>
    </row>
    <row r="1417" spans="1:12" hidden="1">
      <c r="A1417" s="41" t="s">
        <v>2235</v>
      </c>
      <c r="B1417" s="41"/>
      <c r="C1417" s="41" t="s">
        <v>2223</v>
      </c>
      <c r="D1417" s="65">
        <v>16616</v>
      </c>
      <c r="E1417" s="42">
        <v>3.31</v>
      </c>
      <c r="F1417" s="43">
        <v>0.69703643999999998</v>
      </c>
      <c r="G1417" s="42">
        <v>0.89848885000000001</v>
      </c>
      <c r="H1417" s="42">
        <v>0.18031662000000001</v>
      </c>
      <c r="I1417" s="42">
        <v>0.35872416000000001</v>
      </c>
      <c r="J1417" s="42">
        <v>3.7461757999999998E-2</v>
      </c>
      <c r="K1417" s="42">
        <v>6.6736979E-3</v>
      </c>
      <c r="L1417" s="44">
        <v>2.1787015259000002</v>
      </c>
    </row>
    <row r="1418" spans="1:12" hidden="1">
      <c r="A1418" s="41" t="s">
        <v>2236</v>
      </c>
      <c r="B1418" s="41"/>
      <c r="C1418" s="41" t="s">
        <v>2223</v>
      </c>
      <c r="D1418" s="65">
        <v>16614</v>
      </c>
      <c r="E1418" s="42">
        <v>2.5099999999999998</v>
      </c>
      <c r="F1418" s="43">
        <v>2.8095197000000001</v>
      </c>
      <c r="G1418" s="42">
        <v>0.40935262</v>
      </c>
      <c r="H1418" s="42">
        <v>0.18031662000000001</v>
      </c>
      <c r="I1418" s="42">
        <v>0.50445777999999997</v>
      </c>
      <c r="J1418" s="42">
        <v>3.7461757999999998E-2</v>
      </c>
      <c r="K1418" s="42">
        <v>6.6736979E-3</v>
      </c>
      <c r="L1418" s="44">
        <v>3.9477821759000005</v>
      </c>
    </row>
    <row r="1419" spans="1:12" hidden="1">
      <c r="A1419" s="41" t="s">
        <v>2237</v>
      </c>
      <c r="B1419" s="41"/>
      <c r="C1419" s="41" t="s">
        <v>2223</v>
      </c>
      <c r="D1419" s="65">
        <v>16734</v>
      </c>
      <c r="E1419" s="42">
        <v>2.5099999999999998</v>
      </c>
      <c r="F1419" s="43">
        <v>1.6414937999999999</v>
      </c>
      <c r="G1419" s="42">
        <v>0.20090241</v>
      </c>
      <c r="H1419" s="42">
        <v>0.18031662000000001</v>
      </c>
      <c r="I1419" s="42">
        <v>0.36266918999999997</v>
      </c>
      <c r="J1419" s="42">
        <v>3.7461757999999998E-2</v>
      </c>
      <c r="K1419" s="42">
        <v>6.6736979E-3</v>
      </c>
      <c r="L1419" s="44">
        <v>2.4295174759000004</v>
      </c>
    </row>
    <row r="1420" spans="1:12" hidden="1">
      <c r="A1420" s="41" t="s">
        <v>2238</v>
      </c>
      <c r="B1420" s="41"/>
      <c r="C1420" s="41" t="s">
        <v>2223</v>
      </c>
      <c r="D1420" s="65">
        <v>16733</v>
      </c>
      <c r="E1420" s="42">
        <v>3.31</v>
      </c>
      <c r="F1420" s="43">
        <v>0.62806952999999999</v>
      </c>
      <c r="G1420" s="42">
        <v>0.55566691000000001</v>
      </c>
      <c r="H1420" s="42">
        <v>0.18031662000000001</v>
      </c>
      <c r="I1420" s="42">
        <v>0.30649609</v>
      </c>
      <c r="J1420" s="42">
        <v>3.7461757999999998E-2</v>
      </c>
      <c r="K1420" s="42">
        <v>6.6736979E-3</v>
      </c>
      <c r="L1420" s="44">
        <v>1.7146846059</v>
      </c>
    </row>
    <row r="1421" spans="1:12" hidden="1">
      <c r="A1421" s="41" t="s">
        <v>2239</v>
      </c>
      <c r="B1421" s="41"/>
      <c r="C1421" s="41" t="s">
        <v>2223</v>
      </c>
      <c r="D1421" s="65">
        <v>16736</v>
      </c>
      <c r="E1421" s="42">
        <v>3.31</v>
      </c>
      <c r="F1421" s="43">
        <v>0.45360610000000001</v>
      </c>
      <c r="G1421" s="42">
        <v>0.56512209000000002</v>
      </c>
      <c r="H1421" s="42">
        <v>0.18031662000000001</v>
      </c>
      <c r="I1421" s="42">
        <v>0.29269626999999998</v>
      </c>
      <c r="J1421" s="42">
        <v>3.7461757999999998E-2</v>
      </c>
      <c r="K1421" s="42">
        <v>6.6736979E-3</v>
      </c>
      <c r="L1421" s="44">
        <v>1.5358765359</v>
      </c>
    </row>
    <row r="1422" spans="1:12" hidden="1">
      <c r="A1422" s="41" t="s">
        <v>2240</v>
      </c>
      <c r="B1422" s="41"/>
      <c r="C1422" s="41" t="s">
        <v>2223</v>
      </c>
      <c r="D1422" s="65">
        <v>16615</v>
      </c>
      <c r="E1422" s="42">
        <v>3.31</v>
      </c>
      <c r="F1422" s="43">
        <v>0.54310683999999998</v>
      </c>
      <c r="G1422" s="42">
        <v>1.010014</v>
      </c>
      <c r="H1422" s="42">
        <v>0.18031662000000001</v>
      </c>
      <c r="I1422" s="42">
        <v>0.36047445</v>
      </c>
      <c r="J1422" s="42">
        <v>3.7461757999999998E-2</v>
      </c>
      <c r="K1422" s="42">
        <v>6.6736979E-3</v>
      </c>
      <c r="L1422" s="44">
        <v>2.1380473659000003</v>
      </c>
    </row>
    <row r="1423" spans="1:12" hidden="1">
      <c r="A1423" s="37" t="s">
        <v>2241</v>
      </c>
      <c r="B1423" s="37"/>
      <c r="C1423" s="37" t="s">
        <v>1454</v>
      </c>
      <c r="D1423" s="64">
        <v>11054</v>
      </c>
      <c r="E1423" s="38">
        <v>2.4900000000000002</v>
      </c>
      <c r="F1423" s="39">
        <v>0.69545095000000001</v>
      </c>
      <c r="G1423" s="38">
        <v>1.1859248</v>
      </c>
      <c r="H1423" s="38">
        <v>0.23981466000000001</v>
      </c>
      <c r="I1423" s="38">
        <v>0.36528991</v>
      </c>
      <c r="J1423" s="38">
        <v>3.9976882999999998E-2</v>
      </c>
      <c r="K1423" s="38">
        <v>6.6736979E-3</v>
      </c>
      <c r="L1423" s="40">
        <v>2.5331309009000003</v>
      </c>
    </row>
    <row r="1424" spans="1:12" hidden="1">
      <c r="A1424" s="37" t="s">
        <v>2242</v>
      </c>
      <c r="B1424" s="37"/>
      <c r="C1424" s="37" t="s">
        <v>1454</v>
      </c>
      <c r="D1424" s="64">
        <v>11079</v>
      </c>
      <c r="E1424" s="38">
        <v>2.92</v>
      </c>
      <c r="F1424" s="39">
        <v>0.69545095000000001</v>
      </c>
      <c r="G1424" s="38">
        <v>1.1859248</v>
      </c>
      <c r="H1424" s="38">
        <v>0.23981466000000001</v>
      </c>
      <c r="I1424" s="38">
        <v>0.36528991</v>
      </c>
      <c r="J1424" s="38">
        <v>3.9976882999999998E-2</v>
      </c>
      <c r="K1424" s="38">
        <v>6.6736979E-3</v>
      </c>
      <c r="L1424" s="40">
        <v>2.5331309009000003</v>
      </c>
    </row>
    <row r="1425" spans="1:12" hidden="1">
      <c r="A1425" s="37" t="s">
        <v>2243</v>
      </c>
      <c r="B1425" s="37"/>
      <c r="C1425" s="37" t="s">
        <v>637</v>
      </c>
      <c r="D1425" s="64">
        <v>15048</v>
      </c>
      <c r="E1425" s="38">
        <v>3.19</v>
      </c>
      <c r="F1425" s="39">
        <v>1.2484835000000001</v>
      </c>
      <c r="G1425" s="38">
        <v>8.5011834999999994E-2</v>
      </c>
      <c r="H1425" s="38">
        <v>0.28118162000000002</v>
      </c>
      <c r="I1425" s="38">
        <v>0.25768078</v>
      </c>
      <c r="J1425" s="38">
        <v>2.6210641E-2</v>
      </c>
      <c r="K1425" s="38">
        <v>0</v>
      </c>
      <c r="L1425" s="40">
        <v>1.8985683760000003</v>
      </c>
    </row>
    <row r="1426" spans="1:12" hidden="1">
      <c r="A1426" s="37" t="s">
        <v>2244</v>
      </c>
      <c r="B1426" s="37"/>
      <c r="C1426" s="37" t="s">
        <v>637</v>
      </c>
      <c r="D1426" s="64">
        <v>15049</v>
      </c>
      <c r="E1426" s="38">
        <v>3.68</v>
      </c>
      <c r="F1426" s="39">
        <v>1.2484835000000001</v>
      </c>
      <c r="G1426" s="38">
        <v>8.5011834999999994E-2</v>
      </c>
      <c r="H1426" s="38">
        <v>0.28118162000000002</v>
      </c>
      <c r="I1426" s="38">
        <v>0.25768078</v>
      </c>
      <c r="J1426" s="38">
        <v>2.6210641E-2</v>
      </c>
      <c r="K1426" s="38">
        <v>0</v>
      </c>
      <c r="L1426" s="40">
        <v>1.8985683760000003</v>
      </c>
    </row>
    <row r="1427" spans="1:12" hidden="1">
      <c r="A1427" s="37" t="s">
        <v>2245</v>
      </c>
      <c r="B1427" s="37"/>
      <c r="C1427" s="37" t="s">
        <v>637</v>
      </c>
      <c r="D1427" s="64">
        <v>15018</v>
      </c>
      <c r="E1427" s="38">
        <v>3.68</v>
      </c>
      <c r="F1427" s="39">
        <v>1.2484835000000001</v>
      </c>
      <c r="G1427" s="38">
        <v>8.5011834999999994E-2</v>
      </c>
      <c r="H1427" s="38">
        <v>0.28118162000000002</v>
      </c>
      <c r="I1427" s="38">
        <v>0.25768078</v>
      </c>
      <c r="J1427" s="38">
        <v>2.6210641E-2</v>
      </c>
      <c r="K1427" s="38">
        <v>0</v>
      </c>
      <c r="L1427" s="40">
        <v>1.8985683760000003</v>
      </c>
    </row>
    <row r="1428" spans="1:12" hidden="1">
      <c r="A1428" s="37" t="s">
        <v>2246</v>
      </c>
      <c r="B1428" s="37"/>
      <c r="C1428" s="37" t="s">
        <v>816</v>
      </c>
      <c r="D1428" s="64">
        <v>9612</v>
      </c>
      <c r="E1428" s="38">
        <v>2.4700000000000002</v>
      </c>
      <c r="F1428" s="39">
        <v>0.27268323999999999</v>
      </c>
      <c r="G1428" s="38">
        <v>0.17651989000000001</v>
      </c>
      <c r="H1428" s="38">
        <v>0.19186254</v>
      </c>
      <c r="I1428" s="38">
        <v>0.12807098</v>
      </c>
      <c r="J1428" s="38">
        <v>1.9438334000000002E-2</v>
      </c>
      <c r="K1428" s="38">
        <v>0</v>
      </c>
      <c r="L1428" s="40">
        <v>0.78857498400000003</v>
      </c>
    </row>
    <row r="1429" spans="1:12" hidden="1">
      <c r="A1429" s="37" t="s">
        <v>2247</v>
      </c>
      <c r="B1429" s="37"/>
      <c r="C1429" s="37" t="s">
        <v>1647</v>
      </c>
      <c r="D1429" s="64">
        <v>31067</v>
      </c>
      <c r="E1429" s="38">
        <v>3.68</v>
      </c>
      <c r="F1429" s="39">
        <v>0.98167614000000003</v>
      </c>
      <c r="G1429" s="38">
        <v>0</v>
      </c>
      <c r="H1429" s="38">
        <v>0.17071537000000001</v>
      </c>
      <c r="I1429" s="38">
        <v>0.10590242</v>
      </c>
      <c r="J1429" s="38">
        <v>1.7263204000000001E-2</v>
      </c>
      <c r="K1429" s="38">
        <v>0</v>
      </c>
      <c r="L1429" s="40">
        <v>1.275557134</v>
      </c>
    </row>
    <row r="1430" spans="1:12" hidden="1">
      <c r="A1430" s="37" t="s">
        <v>2248</v>
      </c>
      <c r="B1430" s="37"/>
      <c r="C1430" s="37" t="s">
        <v>634</v>
      </c>
      <c r="D1430" s="64">
        <v>13026</v>
      </c>
      <c r="E1430" s="38">
        <v>2.81</v>
      </c>
      <c r="F1430" s="39">
        <v>0.31889524000000002</v>
      </c>
      <c r="G1430" s="38">
        <v>0</v>
      </c>
      <c r="H1430" s="38">
        <v>0</v>
      </c>
      <c r="I1430" s="38">
        <v>0.38120935</v>
      </c>
      <c r="J1430" s="38">
        <v>1.7020934000000001E-2</v>
      </c>
      <c r="K1430" s="38">
        <v>0.21426945999999999</v>
      </c>
      <c r="L1430" s="40">
        <v>0.93139498400000009</v>
      </c>
    </row>
    <row r="1431" spans="1:12" hidden="1">
      <c r="A1431" s="37" t="s">
        <v>2249</v>
      </c>
      <c r="B1431" s="37"/>
      <c r="C1431" s="37" t="s">
        <v>634</v>
      </c>
      <c r="D1431" s="64">
        <v>13742</v>
      </c>
      <c r="E1431" s="38">
        <v>2.57</v>
      </c>
      <c r="F1431" s="39">
        <v>0.31889524000000002</v>
      </c>
      <c r="G1431" s="38">
        <v>0</v>
      </c>
      <c r="H1431" s="38">
        <v>0</v>
      </c>
      <c r="I1431" s="38">
        <v>0.38120935</v>
      </c>
      <c r="J1431" s="38">
        <v>1.7020934000000001E-2</v>
      </c>
      <c r="K1431" s="38">
        <v>0.21426945999999999</v>
      </c>
      <c r="L1431" s="40">
        <v>0.93139498400000009</v>
      </c>
    </row>
    <row r="1432" spans="1:12" hidden="1">
      <c r="A1432" s="37" t="s">
        <v>2250</v>
      </c>
      <c r="B1432" s="37"/>
      <c r="C1432" s="37" t="s">
        <v>807</v>
      </c>
      <c r="D1432" s="64">
        <v>51500</v>
      </c>
      <c r="E1432" s="38">
        <v>3.75</v>
      </c>
      <c r="F1432" s="39">
        <v>0.81226507000000003</v>
      </c>
      <c r="G1432" s="38">
        <v>0</v>
      </c>
      <c r="H1432" s="38">
        <v>0.47782284000000003</v>
      </c>
      <c r="I1432" s="38">
        <v>0.17533238000000001</v>
      </c>
      <c r="J1432" s="38">
        <v>1.5675970000000001E-2</v>
      </c>
      <c r="K1432" s="38">
        <v>0</v>
      </c>
      <c r="L1432" s="40">
        <v>1.4810962599999999</v>
      </c>
    </row>
    <row r="1433" spans="1:12" hidden="1">
      <c r="A1433" s="37" t="s">
        <v>2251</v>
      </c>
      <c r="B1433" s="37"/>
      <c r="C1433" s="37" t="s">
        <v>807</v>
      </c>
      <c r="D1433" s="64">
        <v>11027</v>
      </c>
      <c r="E1433" s="38">
        <v>3.18</v>
      </c>
      <c r="F1433" s="39">
        <v>0.19524258</v>
      </c>
      <c r="G1433" s="38">
        <v>0</v>
      </c>
      <c r="H1433" s="38">
        <v>0.30212257999999997</v>
      </c>
      <c r="I1433" s="38">
        <v>0.1430929</v>
      </c>
      <c r="J1433" s="38">
        <v>1.7243568000000001E-2</v>
      </c>
      <c r="K1433" s="38">
        <v>3.2140419000000003E-2</v>
      </c>
      <c r="L1433" s="40">
        <v>0.68984204699999996</v>
      </c>
    </row>
    <row r="1434" spans="1:12" hidden="1">
      <c r="A1434" s="37" t="s">
        <v>2252</v>
      </c>
      <c r="B1434" s="37"/>
      <c r="C1434" s="37" t="s">
        <v>631</v>
      </c>
      <c r="D1434" s="64">
        <v>30156</v>
      </c>
      <c r="E1434" s="38">
        <v>2.5299999999999998</v>
      </c>
      <c r="F1434" s="39">
        <v>37.843488999999998</v>
      </c>
      <c r="G1434" s="38">
        <v>0.131911</v>
      </c>
      <c r="H1434" s="38">
        <v>0.27727707000000001</v>
      </c>
      <c r="I1434" s="38">
        <v>0.20959469</v>
      </c>
      <c r="J1434" s="38">
        <v>3.7768032999999999E-2</v>
      </c>
      <c r="K1434" s="38">
        <v>6.6736979E-3</v>
      </c>
      <c r="L1434" s="40">
        <v>38.506713490899998</v>
      </c>
    </row>
    <row r="1435" spans="1:12" hidden="1">
      <c r="A1435" s="37" t="s">
        <v>2253</v>
      </c>
      <c r="B1435" s="37"/>
      <c r="C1435" s="37" t="s">
        <v>631</v>
      </c>
      <c r="D1435" s="64">
        <v>30155</v>
      </c>
      <c r="E1435" s="38">
        <v>2.54</v>
      </c>
      <c r="F1435" s="39">
        <v>37.843488999999998</v>
      </c>
      <c r="G1435" s="38">
        <v>0.131911</v>
      </c>
      <c r="H1435" s="38">
        <v>0.27727707000000001</v>
      </c>
      <c r="I1435" s="38">
        <v>0.20959469</v>
      </c>
      <c r="J1435" s="38">
        <v>3.7768032999999999E-2</v>
      </c>
      <c r="K1435" s="38">
        <v>9.2564276000000001E-2</v>
      </c>
      <c r="L1435" s="40">
        <v>38.592604068999997</v>
      </c>
    </row>
    <row r="1436" spans="1:12" hidden="1">
      <c r="A1436" s="37" t="s">
        <v>2254</v>
      </c>
      <c r="B1436" s="37"/>
      <c r="C1436" s="37" t="s">
        <v>631</v>
      </c>
      <c r="D1436" s="64">
        <v>30154</v>
      </c>
      <c r="E1436" s="38">
        <v>2.3199999999999998</v>
      </c>
      <c r="F1436" s="39">
        <v>30.518546000000001</v>
      </c>
      <c r="G1436" s="38">
        <v>0.32129287000000001</v>
      </c>
      <c r="H1436" s="38">
        <v>0.37818513999999998</v>
      </c>
      <c r="I1436" s="38">
        <v>0.21119563999999999</v>
      </c>
      <c r="J1436" s="38">
        <v>3.7768032999999999E-2</v>
      </c>
      <c r="K1436" s="38">
        <v>6.6736979E-3</v>
      </c>
      <c r="L1436" s="40">
        <v>31.473661380899998</v>
      </c>
    </row>
    <row r="1437" spans="1:12" hidden="1">
      <c r="A1437" s="37" t="s">
        <v>2255</v>
      </c>
      <c r="B1437" s="37"/>
      <c r="C1437" s="37" t="s">
        <v>631</v>
      </c>
      <c r="D1437" s="64">
        <v>30150</v>
      </c>
      <c r="E1437" s="38">
        <v>2.3199999999999998</v>
      </c>
      <c r="F1437" s="39">
        <v>23.068390999999998</v>
      </c>
      <c r="G1437" s="38">
        <v>0.51391204999999995</v>
      </c>
      <c r="H1437" s="38">
        <v>0.48081815</v>
      </c>
      <c r="I1437" s="38">
        <v>0.21282396000000001</v>
      </c>
      <c r="J1437" s="38">
        <v>3.7768032999999999E-2</v>
      </c>
      <c r="K1437" s="38">
        <v>6.6736979E-3</v>
      </c>
      <c r="L1437" s="40">
        <v>24.320386890899997</v>
      </c>
    </row>
    <row r="1438" spans="1:12" hidden="1">
      <c r="A1438" s="37" t="s">
        <v>2256</v>
      </c>
      <c r="B1438" s="37"/>
      <c r="C1438" s="37" t="s">
        <v>631</v>
      </c>
      <c r="D1438" s="64">
        <v>30153</v>
      </c>
      <c r="E1438" s="38">
        <v>2.3199999999999998</v>
      </c>
      <c r="F1438" s="39">
        <v>23.068390999999998</v>
      </c>
      <c r="G1438" s="38">
        <v>0.51391204999999995</v>
      </c>
      <c r="H1438" s="38">
        <v>0.48081815</v>
      </c>
      <c r="I1438" s="38">
        <v>0.21282396000000001</v>
      </c>
      <c r="J1438" s="38">
        <v>3.7768032999999999E-2</v>
      </c>
      <c r="K1438" s="38">
        <v>6.6736979E-3</v>
      </c>
      <c r="L1438" s="40">
        <v>24.320386890899997</v>
      </c>
    </row>
    <row r="1439" spans="1:12" hidden="1">
      <c r="A1439" s="37" t="s">
        <v>2257</v>
      </c>
      <c r="B1439" s="37"/>
      <c r="C1439" s="37" t="s">
        <v>631</v>
      </c>
      <c r="D1439" s="64">
        <v>30152</v>
      </c>
      <c r="E1439" s="38">
        <v>2.31</v>
      </c>
      <c r="F1439" s="39">
        <v>28.992113</v>
      </c>
      <c r="G1439" s="38">
        <v>0.11766293999999999</v>
      </c>
      <c r="H1439" s="38">
        <v>0.27727707000000001</v>
      </c>
      <c r="I1439" s="38">
        <v>0.20926127</v>
      </c>
      <c r="J1439" s="38">
        <v>3.7768032999999999E-2</v>
      </c>
      <c r="K1439" s="38">
        <v>6.6736979E-3</v>
      </c>
      <c r="L1439" s="40">
        <v>29.640756010899995</v>
      </c>
    </row>
    <row r="1440" spans="1:12" hidden="1">
      <c r="A1440" s="37" t="s">
        <v>2258</v>
      </c>
      <c r="B1440" s="37"/>
      <c r="C1440" s="37" t="s">
        <v>623</v>
      </c>
      <c r="D1440" s="64">
        <v>24520</v>
      </c>
      <c r="E1440" s="38">
        <v>2.4700000000000002</v>
      </c>
      <c r="F1440" s="39">
        <v>1.2389412</v>
      </c>
      <c r="G1440" s="38">
        <v>0.28437937000000002</v>
      </c>
      <c r="H1440" s="38">
        <v>0.10977533</v>
      </c>
      <c r="I1440" s="38">
        <v>0.13992304999999999</v>
      </c>
      <c r="J1440" s="38">
        <v>1.9437894000000001E-2</v>
      </c>
      <c r="K1440" s="38">
        <v>0</v>
      </c>
      <c r="L1440" s="40">
        <v>1.7924568439999999</v>
      </c>
    </row>
    <row r="1441" spans="1:12" hidden="1">
      <c r="A1441" s="41" t="s">
        <v>2259</v>
      </c>
      <c r="B1441" s="41"/>
      <c r="C1441" s="41" t="s">
        <v>826</v>
      </c>
      <c r="D1441" s="65">
        <v>26095</v>
      </c>
      <c r="E1441" s="42">
        <v>3.57</v>
      </c>
      <c r="F1441" s="43">
        <v>9.3213296000000003</v>
      </c>
      <c r="G1441" s="42">
        <v>0</v>
      </c>
      <c r="H1441" s="42">
        <v>0.27530876999999998</v>
      </c>
      <c r="I1441" s="42">
        <v>1.1705296999999999</v>
      </c>
      <c r="J1441" s="42">
        <v>3.7353873000000003E-2</v>
      </c>
      <c r="K1441" s="42">
        <v>6.6736979E-3</v>
      </c>
      <c r="L1441" s="44">
        <v>10.811195640900001</v>
      </c>
    </row>
    <row r="1442" spans="1:12" hidden="1">
      <c r="A1442" s="41" t="s">
        <v>2260</v>
      </c>
      <c r="B1442" s="41"/>
      <c r="C1442" s="41" t="s">
        <v>873</v>
      </c>
      <c r="D1442" s="65">
        <v>26022</v>
      </c>
      <c r="E1442" s="42">
        <v>3.46</v>
      </c>
      <c r="F1442" s="43">
        <v>11.381883999999999</v>
      </c>
      <c r="G1442" s="42">
        <v>0</v>
      </c>
      <c r="H1442" s="42">
        <v>0.22504651000000001</v>
      </c>
      <c r="I1442" s="42">
        <v>1.4292847</v>
      </c>
      <c r="J1442" s="42">
        <v>4.5611246000000001E-2</v>
      </c>
      <c r="K1442" s="42">
        <v>9.4039550999999999E-2</v>
      </c>
      <c r="L1442" s="44">
        <v>13.175866007</v>
      </c>
    </row>
    <row r="1443" spans="1:12" hidden="1">
      <c r="A1443" s="41" t="s">
        <v>2261</v>
      </c>
      <c r="B1443" s="41"/>
      <c r="C1443" s="41" t="s">
        <v>873</v>
      </c>
      <c r="D1443" s="65">
        <v>26021</v>
      </c>
      <c r="E1443" s="42">
        <v>3.46</v>
      </c>
      <c r="F1443" s="43">
        <v>11.393656999999999</v>
      </c>
      <c r="G1443" s="42">
        <v>1.2618731E-3</v>
      </c>
      <c r="H1443" s="42">
        <v>0.22495896000000001</v>
      </c>
      <c r="I1443" s="42">
        <v>1.4300246999999999</v>
      </c>
      <c r="J1443" s="42">
        <v>4.5611246000000001E-2</v>
      </c>
      <c r="K1443" s="42">
        <v>0.11549598</v>
      </c>
      <c r="L1443" s="44">
        <v>13.211009759100001</v>
      </c>
    </row>
    <row r="1444" spans="1:12" hidden="1">
      <c r="A1444" s="41" t="s">
        <v>2262</v>
      </c>
      <c r="B1444" s="41"/>
      <c r="C1444" s="41" t="s">
        <v>782</v>
      </c>
      <c r="D1444" s="65">
        <v>26124</v>
      </c>
      <c r="E1444" s="42">
        <v>3.46</v>
      </c>
      <c r="F1444" s="43">
        <v>11.381883999999999</v>
      </c>
      <c r="G1444" s="42">
        <v>0</v>
      </c>
      <c r="H1444" s="42">
        <v>0.33616797999999998</v>
      </c>
      <c r="I1444" s="42">
        <v>1.4292847</v>
      </c>
      <c r="J1444" s="42">
        <v>4.5611246000000001E-2</v>
      </c>
      <c r="K1444" s="42">
        <v>9.4039550999999999E-2</v>
      </c>
      <c r="L1444" s="44">
        <v>13.286987477</v>
      </c>
    </row>
    <row r="1445" spans="1:12" hidden="1">
      <c r="A1445" s="41" t="s">
        <v>2263</v>
      </c>
      <c r="B1445" s="41"/>
      <c r="C1445" s="41" t="s">
        <v>826</v>
      </c>
      <c r="D1445" s="65">
        <v>26233</v>
      </c>
      <c r="E1445" s="42">
        <v>3.68</v>
      </c>
      <c r="F1445" s="43">
        <v>5.3642747000000002</v>
      </c>
      <c r="G1445" s="42">
        <v>0</v>
      </c>
      <c r="H1445" s="42">
        <v>0.26884300999999999</v>
      </c>
      <c r="I1445" s="42">
        <v>1.0812781</v>
      </c>
      <c r="J1445" s="42">
        <v>3.7353873000000003E-2</v>
      </c>
      <c r="K1445" s="42">
        <v>6.6736979E-3</v>
      </c>
      <c r="L1445" s="44">
        <v>6.7584233809000009</v>
      </c>
    </row>
    <row r="1446" spans="1:12" hidden="1">
      <c r="A1446" s="37" t="s">
        <v>2264</v>
      </c>
      <c r="B1446" s="37"/>
      <c r="C1446" s="37" t="s">
        <v>826</v>
      </c>
      <c r="D1446" s="64">
        <v>26044</v>
      </c>
      <c r="E1446" s="38">
        <v>3.68</v>
      </c>
      <c r="F1446" s="39">
        <v>5.3642747000000002</v>
      </c>
      <c r="G1446" s="38">
        <v>0</v>
      </c>
      <c r="H1446" s="38">
        <v>0.27530876999999998</v>
      </c>
      <c r="I1446" s="38">
        <v>1.0812781</v>
      </c>
      <c r="J1446" s="38">
        <v>3.7353873000000003E-2</v>
      </c>
      <c r="K1446" s="38">
        <v>6.6736979E-3</v>
      </c>
      <c r="L1446" s="40">
        <v>6.7648891409000003</v>
      </c>
    </row>
    <row r="1447" spans="1:12" hidden="1">
      <c r="A1447" s="37" t="s">
        <v>2265</v>
      </c>
      <c r="B1447" s="37"/>
      <c r="C1447" s="37" t="s">
        <v>873</v>
      </c>
      <c r="D1447" s="64">
        <v>26120</v>
      </c>
      <c r="E1447" s="38">
        <v>3.56</v>
      </c>
      <c r="F1447" s="39">
        <v>6.5500905999999999</v>
      </c>
      <c r="G1447" s="38">
        <v>0</v>
      </c>
      <c r="H1447" s="38">
        <v>0.22504651000000001</v>
      </c>
      <c r="I1447" s="38">
        <v>1.3203033</v>
      </c>
      <c r="J1447" s="38">
        <v>4.5611246000000001E-2</v>
      </c>
      <c r="K1447" s="38">
        <v>9.4039550999999999E-2</v>
      </c>
      <c r="L1447" s="40">
        <v>8.235091207</v>
      </c>
    </row>
    <row r="1448" spans="1:12" hidden="1">
      <c r="A1448" s="37" t="s">
        <v>2266</v>
      </c>
      <c r="B1448" s="37"/>
      <c r="C1448" s="37" t="s">
        <v>826</v>
      </c>
      <c r="D1448" s="64">
        <v>26048</v>
      </c>
      <c r="E1448" s="38">
        <v>3.68</v>
      </c>
      <c r="F1448" s="39">
        <v>5.3642747000000002</v>
      </c>
      <c r="G1448" s="38">
        <v>0.46001826000000001</v>
      </c>
      <c r="H1448" s="38">
        <v>0.26884300999999999</v>
      </c>
      <c r="I1448" s="38">
        <v>1.0812781</v>
      </c>
      <c r="J1448" s="38">
        <v>6.6872780000000007E-2</v>
      </c>
      <c r="K1448" s="38">
        <v>2.5251829999999999E-2</v>
      </c>
      <c r="L1448" s="40">
        <v>7.2665386800000009</v>
      </c>
    </row>
    <row r="1449" spans="1:12" hidden="1">
      <c r="A1449" s="37" t="s">
        <v>2267</v>
      </c>
      <c r="B1449" s="37"/>
      <c r="C1449" s="37" t="s">
        <v>826</v>
      </c>
      <c r="D1449" s="64">
        <v>26178</v>
      </c>
      <c r="E1449" s="38">
        <v>3.68</v>
      </c>
      <c r="F1449" s="39">
        <v>3.1312416999999999</v>
      </c>
      <c r="G1449" s="38">
        <v>0</v>
      </c>
      <c r="H1449" s="38">
        <v>0.27530876999999998</v>
      </c>
      <c r="I1449" s="38">
        <v>0.78496268999999996</v>
      </c>
      <c r="J1449" s="38">
        <v>3.7353873000000003E-2</v>
      </c>
      <c r="K1449" s="38">
        <v>6.6736979E-3</v>
      </c>
      <c r="L1449" s="40">
        <v>4.2355407308999995</v>
      </c>
    </row>
    <row r="1450" spans="1:12" hidden="1">
      <c r="A1450" s="37" t="s">
        <v>2268</v>
      </c>
      <c r="B1450" s="37"/>
      <c r="C1450" s="37" t="s">
        <v>842</v>
      </c>
      <c r="D1450" s="64">
        <v>20272</v>
      </c>
      <c r="E1450" s="38">
        <v>2.74</v>
      </c>
      <c r="F1450" s="39">
        <v>0.30023238000000002</v>
      </c>
      <c r="G1450" s="38">
        <v>0</v>
      </c>
      <c r="H1450" s="38">
        <v>0</v>
      </c>
      <c r="I1450" s="38">
        <v>0.36475004999999999</v>
      </c>
      <c r="J1450" s="38">
        <v>0.20793674000000001</v>
      </c>
      <c r="K1450" s="38">
        <v>0.22539229</v>
      </c>
      <c r="L1450" s="40">
        <v>1.0983114600000001</v>
      </c>
    </row>
    <row r="1451" spans="1:12" hidden="1">
      <c r="A1451" s="37" t="s">
        <v>2269</v>
      </c>
      <c r="B1451" s="37"/>
      <c r="C1451" s="37" t="s">
        <v>1647</v>
      </c>
      <c r="D1451" s="64">
        <v>31008</v>
      </c>
      <c r="E1451" s="38">
        <v>2.2200000000000002</v>
      </c>
      <c r="F1451" s="39">
        <v>0.82782049999999996</v>
      </c>
      <c r="G1451" s="38">
        <v>0</v>
      </c>
      <c r="H1451" s="38">
        <v>0.17071537000000001</v>
      </c>
      <c r="I1451" s="38">
        <v>0.18340022</v>
      </c>
      <c r="J1451" s="38">
        <v>1.7263204000000001E-2</v>
      </c>
      <c r="K1451" s="38">
        <v>0</v>
      </c>
      <c r="L1451" s="40">
        <v>1.199199294</v>
      </c>
    </row>
    <row r="1452" spans="1:12" hidden="1">
      <c r="A1452" s="41" t="s">
        <v>2270</v>
      </c>
      <c r="B1452" s="41"/>
      <c r="C1452" s="41" t="s">
        <v>782</v>
      </c>
      <c r="D1452" s="65">
        <v>26242</v>
      </c>
      <c r="E1452" s="42">
        <v>2.89</v>
      </c>
      <c r="F1452" s="43">
        <v>3.2333387999999998</v>
      </c>
      <c r="G1452" s="42">
        <v>0.62412471999999997</v>
      </c>
      <c r="H1452" s="42">
        <v>0.26404995999999997</v>
      </c>
      <c r="I1452" s="42">
        <v>0.73734506</v>
      </c>
      <c r="J1452" s="42">
        <v>2.4325573999999999E-2</v>
      </c>
      <c r="K1452" s="42">
        <v>0</v>
      </c>
      <c r="L1452" s="44">
        <v>4.8831841139999996</v>
      </c>
    </row>
    <row r="1453" spans="1:12" hidden="1">
      <c r="A1453" s="41" t="s">
        <v>2271</v>
      </c>
      <c r="B1453" s="41"/>
      <c r="C1453" s="41" t="s">
        <v>782</v>
      </c>
      <c r="D1453" s="65">
        <v>26245</v>
      </c>
      <c r="E1453" s="42">
        <v>2.89</v>
      </c>
      <c r="F1453" s="43">
        <v>3.2333387999999998</v>
      </c>
      <c r="G1453" s="42">
        <v>1.8113049999999999</v>
      </c>
      <c r="H1453" s="42">
        <v>0.26404995999999997</v>
      </c>
      <c r="I1453" s="42">
        <v>0.73734506</v>
      </c>
      <c r="J1453" s="42">
        <v>2.4325573999999999E-2</v>
      </c>
      <c r="K1453" s="42">
        <v>0</v>
      </c>
      <c r="L1453" s="44">
        <v>6.0703643939999994</v>
      </c>
    </row>
    <row r="1454" spans="1:12" hidden="1">
      <c r="A1454" s="37" t="s">
        <v>2272</v>
      </c>
      <c r="B1454" s="37"/>
      <c r="C1454" s="37" t="s">
        <v>816</v>
      </c>
      <c r="D1454" s="64">
        <v>9330</v>
      </c>
      <c r="E1454" s="38">
        <v>3</v>
      </c>
      <c r="F1454" s="39">
        <v>0.46190935999999999</v>
      </c>
      <c r="G1454" s="38">
        <v>0</v>
      </c>
      <c r="H1454" s="38">
        <v>0.26506589000000003</v>
      </c>
      <c r="I1454" s="38">
        <v>0.13112868999999999</v>
      </c>
      <c r="J1454" s="38">
        <v>1.606076E-2</v>
      </c>
      <c r="K1454" s="38">
        <v>0</v>
      </c>
      <c r="L1454" s="40">
        <v>0.87416469999999991</v>
      </c>
    </row>
    <row r="1455" spans="1:12" hidden="1">
      <c r="A1455" s="37" t="s">
        <v>2273</v>
      </c>
      <c r="B1455" s="37"/>
      <c r="C1455" s="37" t="s">
        <v>816</v>
      </c>
      <c r="D1455" s="64">
        <v>9331</v>
      </c>
      <c r="E1455" s="38">
        <v>3</v>
      </c>
      <c r="F1455" s="39">
        <v>0.20445661000000001</v>
      </c>
      <c r="G1455" s="38">
        <v>0</v>
      </c>
      <c r="H1455" s="38">
        <v>8.0555266E-2</v>
      </c>
      <c r="I1455" s="38">
        <v>5.8041967999999999E-2</v>
      </c>
      <c r="J1455" s="38">
        <v>7.1090323999999996E-3</v>
      </c>
      <c r="K1455" s="38">
        <v>1.1022624E-2</v>
      </c>
      <c r="L1455" s="40">
        <v>0.36118550039999997</v>
      </c>
    </row>
    <row r="1456" spans="1:12" hidden="1">
      <c r="A1456" s="37" t="s">
        <v>2274</v>
      </c>
      <c r="B1456" s="37"/>
      <c r="C1456" s="37" t="s">
        <v>1085</v>
      </c>
      <c r="D1456" s="64">
        <v>39001</v>
      </c>
      <c r="E1456" s="38">
        <v>1.95</v>
      </c>
      <c r="F1456" s="39">
        <v>0.95976216000000003</v>
      </c>
      <c r="G1456" s="38">
        <v>2.4337070999999998E-2</v>
      </c>
      <c r="H1456" s="38">
        <v>0.10402936</v>
      </c>
      <c r="I1456" s="38">
        <v>0.21844406</v>
      </c>
      <c r="J1456" s="38">
        <v>3.7768032999999999E-2</v>
      </c>
      <c r="K1456" s="38">
        <v>6.6736979E-3</v>
      </c>
      <c r="L1456" s="40">
        <v>1.3510143819</v>
      </c>
    </row>
    <row r="1457" spans="1:12" hidden="1">
      <c r="A1457" s="37" t="s">
        <v>2275</v>
      </c>
      <c r="B1457" s="37"/>
      <c r="C1457" s="37" t="s">
        <v>668</v>
      </c>
      <c r="D1457" s="64">
        <v>24666</v>
      </c>
      <c r="E1457" s="38">
        <v>2.13</v>
      </c>
      <c r="F1457" s="39">
        <v>1.5891601</v>
      </c>
      <c r="G1457" s="38">
        <v>0.21274230999999999</v>
      </c>
      <c r="H1457" s="38">
        <v>0.28781551999999999</v>
      </c>
      <c r="I1457" s="38">
        <v>0.12824004</v>
      </c>
      <c r="J1457" s="38">
        <v>1.9437894000000001E-2</v>
      </c>
      <c r="K1457" s="38">
        <v>0</v>
      </c>
      <c r="L1457" s="40">
        <v>2.2373958640000002</v>
      </c>
    </row>
    <row r="1458" spans="1:12" hidden="1">
      <c r="A1458" s="37" t="s">
        <v>2276</v>
      </c>
      <c r="B1458" s="37"/>
      <c r="C1458" s="37" t="s">
        <v>640</v>
      </c>
      <c r="D1458" s="64">
        <v>12737</v>
      </c>
      <c r="E1458" s="38">
        <v>2.2400000000000002</v>
      </c>
      <c r="F1458" s="39">
        <v>5.1820906999999998</v>
      </c>
      <c r="G1458" s="38">
        <v>0.39280842999999999</v>
      </c>
      <c r="H1458" s="38">
        <v>0.26233268999999998</v>
      </c>
      <c r="I1458" s="38">
        <v>0.21100323000000001</v>
      </c>
      <c r="J1458" s="38">
        <v>3.5969872999999999E-2</v>
      </c>
      <c r="K1458" s="38">
        <v>6.6736979E-3</v>
      </c>
      <c r="L1458" s="40">
        <v>6.0908786208999999</v>
      </c>
    </row>
    <row r="1459" spans="1:12" hidden="1">
      <c r="A1459" s="37" t="s">
        <v>2277</v>
      </c>
      <c r="B1459" s="37"/>
      <c r="C1459" s="37" t="s">
        <v>640</v>
      </c>
      <c r="D1459" s="64">
        <v>12742</v>
      </c>
      <c r="E1459" s="38">
        <v>2.2400000000000002</v>
      </c>
      <c r="F1459" s="39">
        <v>5.2884181000000003</v>
      </c>
      <c r="G1459" s="38">
        <v>0.38255439000000002</v>
      </c>
      <c r="H1459" s="38">
        <v>0.26233268999999998</v>
      </c>
      <c r="I1459" s="38">
        <v>0.21100323000000001</v>
      </c>
      <c r="J1459" s="38">
        <v>3.5969872999999999E-2</v>
      </c>
      <c r="K1459" s="38">
        <v>6.6736979E-3</v>
      </c>
      <c r="L1459" s="40">
        <v>6.1869519809000009</v>
      </c>
    </row>
    <row r="1460" spans="1:12" hidden="1">
      <c r="A1460" s="37" t="s">
        <v>2278</v>
      </c>
      <c r="B1460" s="37"/>
      <c r="C1460" s="37" t="s">
        <v>640</v>
      </c>
      <c r="D1460" s="64">
        <v>12735</v>
      </c>
      <c r="E1460" s="38">
        <v>2.2400000000000002</v>
      </c>
      <c r="F1460" s="39">
        <v>5.0769478000000001</v>
      </c>
      <c r="G1460" s="38">
        <v>0.40464000999999999</v>
      </c>
      <c r="H1460" s="38">
        <v>0.26233268999999998</v>
      </c>
      <c r="I1460" s="38">
        <v>0.21100323000000001</v>
      </c>
      <c r="J1460" s="38">
        <v>3.5969872999999999E-2</v>
      </c>
      <c r="K1460" s="38">
        <v>6.6736979E-3</v>
      </c>
      <c r="L1460" s="40">
        <v>5.9975673009000001</v>
      </c>
    </row>
    <row r="1461" spans="1:12" hidden="1">
      <c r="A1461" s="37" t="s">
        <v>2279</v>
      </c>
      <c r="B1461" s="37"/>
      <c r="C1461" s="37" t="s">
        <v>640</v>
      </c>
      <c r="D1461" s="64">
        <v>12738</v>
      </c>
      <c r="E1461" s="38">
        <v>2.2400000000000002</v>
      </c>
      <c r="F1461" s="39">
        <v>5.4045978000000003</v>
      </c>
      <c r="G1461" s="38">
        <v>0.37387789999999999</v>
      </c>
      <c r="H1461" s="38">
        <v>0.26233268999999998</v>
      </c>
      <c r="I1461" s="38">
        <v>0.21100323000000001</v>
      </c>
      <c r="J1461" s="38">
        <v>3.5969872999999999E-2</v>
      </c>
      <c r="K1461" s="38">
        <v>6.6736979E-3</v>
      </c>
      <c r="L1461" s="40">
        <v>6.2944551909000008</v>
      </c>
    </row>
    <row r="1462" spans="1:12" hidden="1">
      <c r="A1462" s="37" t="s">
        <v>2280</v>
      </c>
      <c r="B1462" s="37"/>
      <c r="C1462" s="37" t="s">
        <v>640</v>
      </c>
      <c r="D1462" s="64">
        <v>12740</v>
      </c>
      <c r="E1462" s="38">
        <v>2.2400000000000002</v>
      </c>
      <c r="F1462" s="39">
        <v>4.7576666999999997</v>
      </c>
      <c r="G1462" s="38">
        <v>0.43461334000000001</v>
      </c>
      <c r="H1462" s="38">
        <v>0.26233268999999998</v>
      </c>
      <c r="I1462" s="38">
        <v>0.21100323000000001</v>
      </c>
      <c r="J1462" s="38">
        <v>3.5969872999999999E-2</v>
      </c>
      <c r="K1462" s="38">
        <v>6.6736979E-3</v>
      </c>
      <c r="L1462" s="40">
        <v>5.7082595309000004</v>
      </c>
    </row>
    <row r="1463" spans="1:12" hidden="1">
      <c r="A1463" s="37" t="s">
        <v>2281</v>
      </c>
      <c r="B1463" s="37"/>
      <c r="C1463" s="37" t="s">
        <v>894</v>
      </c>
      <c r="D1463" s="64">
        <v>20916</v>
      </c>
      <c r="E1463" s="38">
        <v>2.52</v>
      </c>
      <c r="F1463" s="39">
        <v>0.59783927999999997</v>
      </c>
      <c r="G1463" s="38">
        <v>0.1534577</v>
      </c>
      <c r="H1463" s="38">
        <v>0.10977533</v>
      </c>
      <c r="I1463" s="38">
        <v>0.16529036</v>
      </c>
      <c r="J1463" s="38">
        <v>1.9437894000000001E-2</v>
      </c>
      <c r="K1463" s="38">
        <v>0</v>
      </c>
      <c r="L1463" s="40">
        <v>1.0458005639999999</v>
      </c>
    </row>
    <row r="1464" spans="1:12" hidden="1">
      <c r="A1464" s="41" t="s">
        <v>2282</v>
      </c>
      <c r="B1464" s="41"/>
      <c r="C1464" s="41" t="s">
        <v>640</v>
      </c>
      <c r="D1464" s="65">
        <v>12051</v>
      </c>
      <c r="E1464" s="42">
        <v>2.2400000000000002</v>
      </c>
      <c r="F1464" s="43">
        <v>4.3347040000000003</v>
      </c>
      <c r="G1464" s="42">
        <v>0.26648389</v>
      </c>
      <c r="H1464" s="42">
        <v>0.26233268999999998</v>
      </c>
      <c r="I1464" s="42">
        <v>0.21100323000000001</v>
      </c>
      <c r="J1464" s="42">
        <v>3.5969872999999999E-2</v>
      </c>
      <c r="K1464" s="42">
        <v>6.6736979E-3</v>
      </c>
      <c r="L1464" s="44">
        <v>5.1171673809000007</v>
      </c>
    </row>
    <row r="1465" spans="1:12" hidden="1">
      <c r="A1465" s="37" t="s">
        <v>2283</v>
      </c>
      <c r="B1465" s="37"/>
      <c r="C1465" s="37" t="s">
        <v>640</v>
      </c>
      <c r="D1465" s="64">
        <v>12743</v>
      </c>
      <c r="E1465" s="38">
        <v>2.2400000000000002</v>
      </c>
      <c r="F1465" s="39">
        <v>4.9506834</v>
      </c>
      <c r="G1465" s="38">
        <v>0.41647159</v>
      </c>
      <c r="H1465" s="38">
        <v>0.26233268999999998</v>
      </c>
      <c r="I1465" s="38">
        <v>0.21100323000000001</v>
      </c>
      <c r="J1465" s="38">
        <v>3.5969872999999999E-2</v>
      </c>
      <c r="K1465" s="38">
        <v>6.6736979E-3</v>
      </c>
      <c r="L1465" s="40">
        <v>5.8831344808999999</v>
      </c>
    </row>
    <row r="1466" spans="1:12" hidden="1">
      <c r="A1466" s="37" t="s">
        <v>2284</v>
      </c>
      <c r="B1466" s="37"/>
      <c r="C1466" s="37" t="s">
        <v>631</v>
      </c>
      <c r="D1466" s="64">
        <v>30789</v>
      </c>
      <c r="E1466" s="38">
        <v>2.36</v>
      </c>
      <c r="F1466" s="39">
        <v>7.1183345999999998</v>
      </c>
      <c r="G1466" s="38">
        <v>0.89307703999999999</v>
      </c>
      <c r="H1466" s="38">
        <v>0.60803132000000004</v>
      </c>
      <c r="I1466" s="38">
        <v>0.21049362999999999</v>
      </c>
      <c r="J1466" s="38">
        <v>3.7768032999999999E-2</v>
      </c>
      <c r="K1466" s="38">
        <v>9.2564276000000001E-2</v>
      </c>
      <c r="L1466" s="40">
        <v>8.9602688990000008</v>
      </c>
    </row>
    <row r="1467" spans="1:12" hidden="1">
      <c r="A1467" s="37" t="s">
        <v>2285</v>
      </c>
      <c r="B1467" s="37"/>
      <c r="C1467" s="37" t="s">
        <v>631</v>
      </c>
      <c r="D1467" s="64">
        <v>30797</v>
      </c>
      <c r="E1467" s="38">
        <v>2.33</v>
      </c>
      <c r="F1467" s="39">
        <v>7.1183345999999998</v>
      </c>
      <c r="G1467" s="38">
        <v>0.89307703999999999</v>
      </c>
      <c r="H1467" s="38">
        <v>0.60803132000000004</v>
      </c>
      <c r="I1467" s="38">
        <v>0.21049362999999999</v>
      </c>
      <c r="J1467" s="38">
        <v>3.7768032999999999E-2</v>
      </c>
      <c r="K1467" s="38">
        <v>9.2564276000000001E-2</v>
      </c>
      <c r="L1467" s="40">
        <v>8.9602688990000008</v>
      </c>
    </row>
    <row r="1468" spans="1:12" hidden="1">
      <c r="A1468" s="37" t="s">
        <v>2286</v>
      </c>
      <c r="B1468" s="37"/>
      <c r="C1468" s="37" t="s">
        <v>631</v>
      </c>
      <c r="D1468" s="64">
        <v>30791</v>
      </c>
      <c r="E1468" s="38">
        <v>2.33</v>
      </c>
      <c r="F1468" s="39">
        <v>7.1183345999999998</v>
      </c>
      <c r="G1468" s="38">
        <v>0.89307703999999999</v>
      </c>
      <c r="H1468" s="38">
        <v>0.60803132000000004</v>
      </c>
      <c r="I1468" s="38">
        <v>0.21049362999999999</v>
      </c>
      <c r="J1468" s="38">
        <v>3.7768032999999999E-2</v>
      </c>
      <c r="K1468" s="38">
        <v>9.2564276000000001E-2</v>
      </c>
      <c r="L1468" s="40">
        <v>8.9602688990000008</v>
      </c>
    </row>
    <row r="1469" spans="1:12" hidden="1">
      <c r="A1469" s="37" t="s">
        <v>2287</v>
      </c>
      <c r="B1469" s="37"/>
      <c r="C1469" s="37" t="s">
        <v>631</v>
      </c>
      <c r="D1469" s="64">
        <v>30790</v>
      </c>
      <c r="E1469" s="38">
        <v>2.33</v>
      </c>
      <c r="F1469" s="39">
        <v>7.1183345999999998</v>
      </c>
      <c r="G1469" s="38">
        <v>0.89307703999999999</v>
      </c>
      <c r="H1469" s="38">
        <v>0.60803132000000004</v>
      </c>
      <c r="I1469" s="38">
        <v>0.21049362999999999</v>
      </c>
      <c r="J1469" s="38">
        <v>3.7768032999999999E-2</v>
      </c>
      <c r="K1469" s="38">
        <v>9.2564276000000001E-2</v>
      </c>
      <c r="L1469" s="40">
        <v>8.9602688990000008</v>
      </c>
    </row>
    <row r="1470" spans="1:12" hidden="1">
      <c r="A1470" s="37" t="s">
        <v>2288</v>
      </c>
      <c r="B1470" s="37"/>
      <c r="C1470" s="37" t="s">
        <v>873</v>
      </c>
      <c r="D1470" s="64">
        <v>26024</v>
      </c>
      <c r="E1470" s="38">
        <v>3.74</v>
      </c>
      <c r="F1470" s="39">
        <v>11.381883999999999</v>
      </c>
      <c r="G1470" s="38">
        <v>0</v>
      </c>
      <c r="H1470" s="38">
        <v>0.22504651000000001</v>
      </c>
      <c r="I1470" s="38">
        <v>1.4292847</v>
      </c>
      <c r="J1470" s="38">
        <v>4.5611246000000001E-2</v>
      </c>
      <c r="K1470" s="38">
        <v>9.4039550999999999E-2</v>
      </c>
      <c r="L1470" s="40">
        <v>13.175866007</v>
      </c>
    </row>
    <row r="1471" spans="1:12" hidden="1">
      <c r="A1471" s="37" t="s">
        <v>2289</v>
      </c>
      <c r="B1471" s="37"/>
      <c r="C1471" s="37" t="s">
        <v>826</v>
      </c>
      <c r="D1471" s="64">
        <v>26098</v>
      </c>
      <c r="E1471" s="38">
        <v>3.78</v>
      </c>
      <c r="F1471" s="39">
        <v>9.3213296000000003</v>
      </c>
      <c r="G1471" s="38">
        <v>0</v>
      </c>
      <c r="H1471" s="38">
        <v>0.27530876999999998</v>
      </c>
      <c r="I1471" s="38">
        <v>1.1705296999999999</v>
      </c>
      <c r="J1471" s="38">
        <v>3.7353873000000003E-2</v>
      </c>
      <c r="K1471" s="38">
        <v>6.6736979E-3</v>
      </c>
      <c r="L1471" s="40">
        <v>10.811195640900001</v>
      </c>
    </row>
    <row r="1472" spans="1:12" hidden="1">
      <c r="A1472" s="37" t="s">
        <v>2290</v>
      </c>
      <c r="B1472" s="37"/>
      <c r="C1472" s="37" t="s">
        <v>1183</v>
      </c>
      <c r="D1472" s="64">
        <v>10014</v>
      </c>
      <c r="E1472" s="38">
        <v>2.85</v>
      </c>
      <c r="F1472" s="39">
        <v>1.8266391</v>
      </c>
      <c r="G1472" s="38">
        <v>0</v>
      </c>
      <c r="H1472" s="38">
        <v>1.1012351</v>
      </c>
      <c r="I1472" s="38">
        <v>0.86809444000000002</v>
      </c>
      <c r="J1472" s="38">
        <v>0.14941549000000001</v>
      </c>
      <c r="K1472" s="38">
        <v>0.99090738</v>
      </c>
      <c r="L1472" s="40">
        <v>4.9362915100000002</v>
      </c>
    </row>
    <row r="1473" spans="1:12" hidden="1">
      <c r="A1473" s="37" t="s">
        <v>2291</v>
      </c>
      <c r="B1473" s="37"/>
      <c r="C1473" s="37" t="s">
        <v>1183</v>
      </c>
      <c r="D1473" s="64">
        <v>10026</v>
      </c>
      <c r="E1473" s="38">
        <v>2.85</v>
      </c>
      <c r="F1473" s="39">
        <v>1.8266391</v>
      </c>
      <c r="G1473" s="38">
        <v>0</v>
      </c>
      <c r="H1473" s="38">
        <v>1.1012351</v>
      </c>
      <c r="I1473" s="38">
        <v>0.86809444000000002</v>
      </c>
      <c r="J1473" s="38">
        <v>0.14941549000000001</v>
      </c>
      <c r="K1473" s="38">
        <v>0.99090738</v>
      </c>
      <c r="L1473" s="40">
        <v>4.9362915100000002</v>
      </c>
    </row>
    <row r="1474" spans="1:12" hidden="1">
      <c r="A1474" s="37" t="s">
        <v>2292</v>
      </c>
      <c r="B1474" s="37"/>
      <c r="C1474" s="37" t="s">
        <v>782</v>
      </c>
      <c r="D1474" s="64">
        <v>10028</v>
      </c>
      <c r="E1474" s="38">
        <v>2.83</v>
      </c>
      <c r="F1474" s="39">
        <v>2.2029266999999999</v>
      </c>
      <c r="G1474" s="38">
        <v>1.5746606000000001</v>
      </c>
      <c r="H1474" s="38">
        <v>1.1956705999999999</v>
      </c>
      <c r="I1474" s="38">
        <v>0.27043398000000002</v>
      </c>
      <c r="J1474" s="38">
        <v>1.9764528999999999E-2</v>
      </c>
      <c r="K1474" s="38">
        <v>0.11661539</v>
      </c>
      <c r="L1474" s="40">
        <v>5.3800717989999995</v>
      </c>
    </row>
    <row r="1475" spans="1:12" hidden="1">
      <c r="A1475" s="37" t="s">
        <v>2293</v>
      </c>
      <c r="B1475" s="37"/>
      <c r="C1475" s="37" t="s">
        <v>1181</v>
      </c>
      <c r="D1475" s="64">
        <v>10013</v>
      </c>
      <c r="E1475" s="38">
        <v>2.9</v>
      </c>
      <c r="F1475" s="39">
        <v>2.2304322999999999</v>
      </c>
      <c r="G1475" s="38">
        <v>0</v>
      </c>
      <c r="H1475" s="38">
        <v>1.3446719</v>
      </c>
      <c r="I1475" s="38">
        <v>1.0599936999999999</v>
      </c>
      <c r="J1475" s="38">
        <v>0.18244499</v>
      </c>
      <c r="K1475" s="38">
        <v>1.8457412</v>
      </c>
      <c r="L1475" s="40">
        <v>6.6632840899999994</v>
      </c>
    </row>
    <row r="1476" spans="1:12" hidden="1">
      <c r="A1476" s="37" t="s">
        <v>2294</v>
      </c>
      <c r="B1476" s="37"/>
      <c r="C1476" s="37" t="s">
        <v>782</v>
      </c>
      <c r="D1476" s="64">
        <v>10081</v>
      </c>
      <c r="E1476" s="38">
        <v>2.86</v>
      </c>
      <c r="F1476" s="39">
        <v>2.1648413999999998</v>
      </c>
      <c r="G1476" s="38">
        <v>0.84186280999999996</v>
      </c>
      <c r="H1476" s="38">
        <v>0.21432954000000001</v>
      </c>
      <c r="I1476" s="38">
        <v>0.27724826000000002</v>
      </c>
      <c r="J1476" s="38">
        <v>1.9764528999999999E-2</v>
      </c>
      <c r="K1476" s="38">
        <v>0.16624163</v>
      </c>
      <c r="L1476" s="40">
        <v>3.6842881689999998</v>
      </c>
    </row>
    <row r="1477" spans="1:12" hidden="1">
      <c r="A1477" s="37" t="s">
        <v>2295</v>
      </c>
      <c r="B1477" s="37"/>
      <c r="C1477" s="37" t="s">
        <v>811</v>
      </c>
      <c r="D1477" s="64">
        <v>10083</v>
      </c>
      <c r="E1477" s="38">
        <v>3.13</v>
      </c>
      <c r="F1477" s="39">
        <v>1.9160805000000001</v>
      </c>
      <c r="G1477" s="38">
        <v>0.76046588000000004</v>
      </c>
      <c r="H1477" s="38">
        <v>0.18549789</v>
      </c>
      <c r="I1477" s="38">
        <v>0.31318219000000003</v>
      </c>
      <c r="J1477" s="38">
        <v>3.7768032999999999E-2</v>
      </c>
      <c r="K1477" s="38">
        <v>1.7696322E-2</v>
      </c>
      <c r="L1477" s="40">
        <v>3.230690815</v>
      </c>
    </row>
    <row r="1478" spans="1:12" hidden="1">
      <c r="A1478" s="37" t="s">
        <v>2296</v>
      </c>
      <c r="B1478" s="37"/>
      <c r="C1478" s="37" t="s">
        <v>811</v>
      </c>
      <c r="D1478" s="64">
        <v>10082</v>
      </c>
      <c r="E1478" s="38">
        <v>2.69</v>
      </c>
      <c r="F1478" s="39">
        <v>1.9160805000000001</v>
      </c>
      <c r="G1478" s="38">
        <v>0.76046588000000004</v>
      </c>
      <c r="H1478" s="38">
        <v>0.18549789</v>
      </c>
      <c r="I1478" s="38">
        <v>0.31318219000000003</v>
      </c>
      <c r="J1478" s="38">
        <v>3.7768032999999999E-2</v>
      </c>
      <c r="K1478" s="38">
        <v>1.7696322E-2</v>
      </c>
      <c r="L1478" s="40">
        <v>3.230690815</v>
      </c>
    </row>
    <row r="1479" spans="1:12" hidden="1">
      <c r="A1479" s="37" t="s">
        <v>2297</v>
      </c>
      <c r="B1479" s="37"/>
      <c r="C1479" s="37" t="s">
        <v>811</v>
      </c>
      <c r="D1479" s="64">
        <v>25123</v>
      </c>
      <c r="E1479" s="38">
        <v>2.62</v>
      </c>
      <c r="F1479" s="39">
        <v>21.964092000000001</v>
      </c>
      <c r="G1479" s="38">
        <v>0.23287869999999999</v>
      </c>
      <c r="H1479" s="38">
        <v>0.18549789</v>
      </c>
      <c r="I1479" s="38">
        <v>0.22627185999999999</v>
      </c>
      <c r="J1479" s="38">
        <v>3.7768032999999999E-2</v>
      </c>
      <c r="K1479" s="38">
        <v>1.7696322E-2</v>
      </c>
      <c r="L1479" s="40">
        <v>22.664204805000001</v>
      </c>
    </row>
    <row r="1480" spans="1:12" hidden="1">
      <c r="A1480" s="37" t="s">
        <v>2298</v>
      </c>
      <c r="B1480" s="37"/>
      <c r="C1480" s="37" t="s">
        <v>1085</v>
      </c>
      <c r="D1480" s="64">
        <v>19852</v>
      </c>
      <c r="E1480" s="38">
        <v>4.32</v>
      </c>
      <c r="F1480" s="39">
        <v>1.3729259</v>
      </c>
      <c r="G1480" s="38">
        <v>0.20847573</v>
      </c>
      <c r="H1480" s="38">
        <v>0.18549789</v>
      </c>
      <c r="I1480" s="38">
        <v>0.31567643000000001</v>
      </c>
      <c r="J1480" s="38">
        <v>3.7768032999999999E-2</v>
      </c>
      <c r="K1480" s="38">
        <v>6.6736979E-3</v>
      </c>
      <c r="L1480" s="40">
        <v>2.1270176808999999</v>
      </c>
    </row>
    <row r="1481" spans="1:12" hidden="1">
      <c r="A1481" s="37" t="s">
        <v>2299</v>
      </c>
      <c r="B1481" s="37"/>
      <c r="C1481" s="37" t="s">
        <v>1085</v>
      </c>
      <c r="D1481" s="64">
        <v>39206</v>
      </c>
      <c r="E1481" s="38">
        <v>2.5</v>
      </c>
      <c r="F1481" s="39">
        <v>8.5675889000000005</v>
      </c>
      <c r="G1481" s="38">
        <v>0.21735061999999999</v>
      </c>
      <c r="H1481" s="38">
        <v>0.18549789</v>
      </c>
      <c r="I1481" s="38">
        <v>0.34256618999999999</v>
      </c>
      <c r="J1481" s="38">
        <v>3.7768032999999999E-2</v>
      </c>
      <c r="K1481" s="38">
        <v>6.6736979E-3</v>
      </c>
      <c r="L1481" s="40">
        <v>9.357445330900001</v>
      </c>
    </row>
    <row r="1482" spans="1:12" hidden="1">
      <c r="A1482" s="37" t="s">
        <v>2300</v>
      </c>
      <c r="B1482" s="37"/>
      <c r="C1482" s="37" t="s">
        <v>1085</v>
      </c>
      <c r="D1482" s="64">
        <v>39210</v>
      </c>
      <c r="E1482" s="38">
        <v>2.5</v>
      </c>
      <c r="F1482" s="39">
        <v>8.5675889000000005</v>
      </c>
      <c r="G1482" s="38">
        <v>0.21735061999999999</v>
      </c>
      <c r="H1482" s="38">
        <v>0.18549789</v>
      </c>
      <c r="I1482" s="38">
        <v>0.34256618999999999</v>
      </c>
      <c r="J1482" s="38">
        <v>3.7768032999999999E-2</v>
      </c>
      <c r="K1482" s="38">
        <v>6.6736979E-3</v>
      </c>
      <c r="L1482" s="40">
        <v>9.357445330900001</v>
      </c>
    </row>
    <row r="1483" spans="1:12" hidden="1">
      <c r="A1483" s="37" t="s">
        <v>2301</v>
      </c>
      <c r="B1483" s="37"/>
      <c r="C1483" s="37" t="s">
        <v>1085</v>
      </c>
      <c r="D1483" s="64">
        <v>39228</v>
      </c>
      <c r="E1483" s="38">
        <v>3.65</v>
      </c>
      <c r="F1483" s="39">
        <v>1.3729259</v>
      </c>
      <c r="G1483" s="38">
        <v>0.20847573</v>
      </c>
      <c r="H1483" s="38">
        <v>0.18549789</v>
      </c>
      <c r="I1483" s="38">
        <v>0.31567643000000001</v>
      </c>
      <c r="J1483" s="38">
        <v>3.7768032999999999E-2</v>
      </c>
      <c r="K1483" s="38">
        <v>6.6736979E-3</v>
      </c>
      <c r="L1483" s="40">
        <v>2.1270176808999999</v>
      </c>
    </row>
    <row r="1484" spans="1:12" hidden="1">
      <c r="A1484" s="37" t="s">
        <v>2302</v>
      </c>
      <c r="B1484" s="37"/>
      <c r="C1484" s="37" t="s">
        <v>631</v>
      </c>
      <c r="D1484" s="64">
        <v>8315</v>
      </c>
      <c r="E1484" s="38">
        <v>2.5099999999999998</v>
      </c>
      <c r="F1484" s="39">
        <v>4.9639135000000003</v>
      </c>
      <c r="G1484" s="38">
        <v>0.93371965999999995</v>
      </c>
      <c r="H1484" s="38">
        <v>0.36007344000000002</v>
      </c>
      <c r="I1484" s="38">
        <v>0.25807590000000002</v>
      </c>
      <c r="J1484" s="38">
        <v>3.7768032999999999E-2</v>
      </c>
      <c r="K1484" s="38">
        <v>6.6736979E-3</v>
      </c>
      <c r="L1484" s="40">
        <v>6.5602242308999994</v>
      </c>
    </row>
    <row r="1485" spans="1:12" hidden="1">
      <c r="A1485" s="37" t="s">
        <v>2303</v>
      </c>
      <c r="B1485" s="37"/>
      <c r="C1485" s="37" t="s">
        <v>631</v>
      </c>
      <c r="D1485" s="64">
        <v>8313</v>
      </c>
      <c r="E1485" s="38">
        <v>2.78</v>
      </c>
      <c r="F1485" s="39">
        <v>4.1692831000000004</v>
      </c>
      <c r="G1485" s="38">
        <v>0.53501821000000005</v>
      </c>
      <c r="H1485" s="38">
        <v>0.42777672</v>
      </c>
      <c r="I1485" s="38">
        <v>0.20797721</v>
      </c>
      <c r="J1485" s="38">
        <v>3.7768032999999999E-2</v>
      </c>
      <c r="K1485" s="38">
        <v>6.6736979E-3</v>
      </c>
      <c r="L1485" s="40">
        <v>5.3844969708999999</v>
      </c>
    </row>
    <row r="1486" spans="1:12" hidden="1">
      <c r="A1486" s="37" t="s">
        <v>2304</v>
      </c>
      <c r="B1486" s="37"/>
      <c r="C1486" s="37" t="s">
        <v>631</v>
      </c>
      <c r="D1486" s="64">
        <v>8312</v>
      </c>
      <c r="E1486" s="38">
        <v>2.78</v>
      </c>
      <c r="F1486" s="39">
        <v>4.1692831000000004</v>
      </c>
      <c r="G1486" s="38">
        <v>0.53501821000000005</v>
      </c>
      <c r="H1486" s="38">
        <v>0.42777672</v>
      </c>
      <c r="I1486" s="38">
        <v>0.20797721</v>
      </c>
      <c r="J1486" s="38">
        <v>3.7768032999999999E-2</v>
      </c>
      <c r="K1486" s="38">
        <v>6.6736979E-3</v>
      </c>
      <c r="L1486" s="40">
        <v>5.3844969708999999</v>
      </c>
    </row>
    <row r="1487" spans="1:12" hidden="1">
      <c r="A1487" s="37" t="s">
        <v>2305</v>
      </c>
      <c r="B1487" s="37"/>
      <c r="C1487" s="37" t="s">
        <v>1085</v>
      </c>
      <c r="D1487" s="64">
        <v>39235</v>
      </c>
      <c r="E1487" s="38">
        <v>2.5</v>
      </c>
      <c r="F1487" s="39">
        <v>3.8023536999999998</v>
      </c>
      <c r="G1487" s="38">
        <v>0.13608132000000001</v>
      </c>
      <c r="H1487" s="38">
        <v>0.18549789</v>
      </c>
      <c r="I1487" s="38">
        <v>0.25763135999999998</v>
      </c>
      <c r="J1487" s="38">
        <v>3.7768032999999999E-2</v>
      </c>
      <c r="K1487" s="38">
        <v>6.6736979E-3</v>
      </c>
      <c r="L1487" s="40">
        <v>4.4260060009000002</v>
      </c>
    </row>
    <row r="1488" spans="1:12" hidden="1">
      <c r="A1488" s="37" t="s">
        <v>2306</v>
      </c>
      <c r="B1488" s="37"/>
      <c r="C1488" s="37" t="s">
        <v>2307</v>
      </c>
      <c r="D1488" s="64">
        <v>11013</v>
      </c>
      <c r="E1488" s="38">
        <v>2.4700000000000002</v>
      </c>
      <c r="F1488" s="39">
        <v>0.72055546999999998</v>
      </c>
      <c r="G1488" s="38">
        <v>0.23638468000000001</v>
      </c>
      <c r="H1488" s="38">
        <v>0.62309638999999994</v>
      </c>
      <c r="I1488" s="38">
        <v>0.21752469999999999</v>
      </c>
      <c r="J1488" s="38">
        <v>1.9437894000000001E-2</v>
      </c>
      <c r="K1488" s="38">
        <v>0</v>
      </c>
      <c r="L1488" s="40">
        <v>1.816999134</v>
      </c>
    </row>
    <row r="1489" spans="1:12" hidden="1">
      <c r="A1489" s="37" t="s">
        <v>2308</v>
      </c>
      <c r="B1489" s="37"/>
      <c r="C1489" s="37" t="s">
        <v>2307</v>
      </c>
      <c r="D1489" s="64">
        <v>11021</v>
      </c>
      <c r="E1489" s="38">
        <v>2.21</v>
      </c>
      <c r="F1489" s="39">
        <v>0.65242747999999995</v>
      </c>
      <c r="G1489" s="38">
        <v>0.43373573999999998</v>
      </c>
      <c r="H1489" s="38">
        <v>0.71375611000000005</v>
      </c>
      <c r="I1489" s="38">
        <v>0.22723878</v>
      </c>
      <c r="J1489" s="38">
        <v>1.9437894000000001E-2</v>
      </c>
      <c r="K1489" s="38">
        <v>0</v>
      </c>
      <c r="L1489" s="40">
        <v>2.0465960040000004</v>
      </c>
    </row>
    <row r="1490" spans="1:12" hidden="1">
      <c r="A1490" s="37" t="s">
        <v>2309</v>
      </c>
      <c r="B1490" s="37"/>
      <c r="C1490" s="37" t="s">
        <v>788</v>
      </c>
      <c r="D1490" s="64">
        <v>21003</v>
      </c>
      <c r="E1490" s="38">
        <v>3.17</v>
      </c>
      <c r="F1490" s="39">
        <v>31.583278</v>
      </c>
      <c r="G1490" s="38">
        <v>5.3161012000000001E-2</v>
      </c>
      <c r="H1490" s="38">
        <v>0.27530876999999998</v>
      </c>
      <c r="I1490" s="38">
        <v>0.20270365000000001</v>
      </c>
      <c r="J1490" s="38">
        <v>3.7353873000000003E-2</v>
      </c>
      <c r="K1490" s="38">
        <v>6.6736979E-3</v>
      </c>
      <c r="L1490" s="40">
        <v>32.158479002899995</v>
      </c>
    </row>
    <row r="1491" spans="1:12" hidden="1">
      <c r="A1491" s="37" t="s">
        <v>2310</v>
      </c>
      <c r="B1491" s="37"/>
      <c r="C1491" s="37" t="s">
        <v>788</v>
      </c>
      <c r="D1491" s="64">
        <v>21006</v>
      </c>
      <c r="E1491" s="38">
        <v>3.17</v>
      </c>
      <c r="F1491" s="39">
        <v>39.479098</v>
      </c>
      <c r="G1491" s="38">
        <v>6.6451264999999995E-2</v>
      </c>
      <c r="H1491" s="38">
        <v>0.34413596000000002</v>
      </c>
      <c r="I1491" s="38">
        <v>0.25337956</v>
      </c>
      <c r="J1491" s="38">
        <v>4.6692341999999998E-2</v>
      </c>
      <c r="K1491" s="38">
        <v>8.8693171000000001E-2</v>
      </c>
      <c r="L1491" s="40">
        <v>40.278450298000003</v>
      </c>
    </row>
    <row r="1492" spans="1:12" hidden="1">
      <c r="A1492" s="41" t="s">
        <v>2311</v>
      </c>
      <c r="B1492" s="41"/>
      <c r="C1492" s="41" t="s">
        <v>788</v>
      </c>
      <c r="D1492" s="65">
        <v>21004</v>
      </c>
      <c r="E1492" s="42">
        <v>2.73</v>
      </c>
      <c r="F1492" s="43">
        <v>25.635563000000001</v>
      </c>
      <c r="G1492" s="42">
        <v>4.3149809999999997E-2</v>
      </c>
      <c r="H1492" s="42">
        <v>0.34413596000000002</v>
      </c>
      <c r="I1492" s="42">
        <v>0.24726859000000001</v>
      </c>
      <c r="J1492" s="42">
        <v>4.6692341999999998E-2</v>
      </c>
      <c r="K1492" s="42">
        <v>8.8693171000000001E-2</v>
      </c>
      <c r="L1492" s="44">
        <v>26.405502873</v>
      </c>
    </row>
    <row r="1493" spans="1:12" hidden="1">
      <c r="A1493" s="41" t="s">
        <v>2312</v>
      </c>
      <c r="B1493" s="41"/>
      <c r="C1493" s="41" t="s">
        <v>788</v>
      </c>
      <c r="D1493" s="65">
        <v>21005</v>
      </c>
      <c r="E1493" s="42">
        <v>2.73</v>
      </c>
      <c r="F1493" s="43">
        <v>25.635563000000001</v>
      </c>
      <c r="G1493" s="42">
        <v>4.3149809999999997E-2</v>
      </c>
      <c r="H1493" s="42">
        <v>0.34413596000000002</v>
      </c>
      <c r="I1493" s="42">
        <v>0.24726859000000001</v>
      </c>
      <c r="J1493" s="42">
        <v>4.6692341999999998E-2</v>
      </c>
      <c r="K1493" s="42">
        <v>8.8693171000000001E-2</v>
      </c>
      <c r="L1493" s="44">
        <v>26.405502873</v>
      </c>
    </row>
    <row r="1494" spans="1:12" hidden="1">
      <c r="A1494" s="37" t="s">
        <v>2313</v>
      </c>
      <c r="B1494" s="37"/>
      <c r="C1494" s="37" t="s">
        <v>788</v>
      </c>
      <c r="D1494" s="64">
        <v>21001</v>
      </c>
      <c r="E1494" s="38">
        <v>3.17</v>
      </c>
      <c r="F1494" s="39">
        <v>31.583278</v>
      </c>
      <c r="G1494" s="38">
        <v>5.3161012000000001E-2</v>
      </c>
      <c r="H1494" s="38">
        <v>0.27530876999999998</v>
      </c>
      <c r="I1494" s="38">
        <v>0.20270365000000001</v>
      </c>
      <c r="J1494" s="38">
        <v>3.7353873000000003E-2</v>
      </c>
      <c r="K1494" s="38">
        <v>6.6736979E-3</v>
      </c>
      <c r="L1494" s="40">
        <v>32.158479002899995</v>
      </c>
    </row>
    <row r="1495" spans="1:12" hidden="1">
      <c r="A1495" s="37" t="s">
        <v>2314</v>
      </c>
      <c r="B1495" s="37"/>
      <c r="C1495" s="37" t="s">
        <v>640</v>
      </c>
      <c r="D1495" s="64">
        <v>19590</v>
      </c>
      <c r="E1495" s="38">
        <v>1.88</v>
      </c>
      <c r="F1495" s="39">
        <v>3.8001999</v>
      </c>
      <c r="G1495" s="38">
        <v>0.29688808999999999</v>
      </c>
      <c r="H1495" s="38">
        <v>0.26233268999999998</v>
      </c>
      <c r="I1495" s="38">
        <v>0.21100323000000001</v>
      </c>
      <c r="J1495" s="38">
        <v>3.5969872999999999E-2</v>
      </c>
      <c r="K1495" s="38">
        <v>6.6736979E-3</v>
      </c>
      <c r="L1495" s="40">
        <v>4.6130674809000007</v>
      </c>
    </row>
    <row r="1496" spans="1:12" hidden="1">
      <c r="A1496" s="37" t="s">
        <v>2315</v>
      </c>
      <c r="B1496" s="37"/>
      <c r="C1496" s="37" t="s">
        <v>623</v>
      </c>
      <c r="D1496" s="64">
        <v>32109</v>
      </c>
      <c r="E1496" s="38">
        <v>3.55</v>
      </c>
      <c r="F1496" s="39">
        <v>1.1120479999999999</v>
      </c>
      <c r="G1496" s="38">
        <v>0.70346861999999999</v>
      </c>
      <c r="H1496" s="38">
        <v>0.10978625</v>
      </c>
      <c r="I1496" s="38">
        <v>0.17739592000000001</v>
      </c>
      <c r="J1496" s="38">
        <v>1.9437894000000001E-2</v>
      </c>
      <c r="K1496" s="38">
        <v>0</v>
      </c>
      <c r="L1496" s="40">
        <v>2.122136684</v>
      </c>
    </row>
    <row r="1497" spans="1:12" hidden="1">
      <c r="A1497" s="37" t="s">
        <v>2316</v>
      </c>
      <c r="B1497" s="37"/>
      <c r="C1497" s="37" t="s">
        <v>623</v>
      </c>
      <c r="D1497" s="64">
        <v>32112</v>
      </c>
      <c r="E1497" s="38">
        <v>3.31</v>
      </c>
      <c r="F1497" s="39">
        <v>1.1120479999999999</v>
      </c>
      <c r="G1497" s="38">
        <v>0.70354981999999999</v>
      </c>
      <c r="H1497" s="38">
        <v>0.10978625</v>
      </c>
      <c r="I1497" s="38">
        <v>0.17739592000000001</v>
      </c>
      <c r="J1497" s="38">
        <v>1.9437894000000001E-2</v>
      </c>
      <c r="K1497" s="38">
        <v>0</v>
      </c>
      <c r="L1497" s="40">
        <v>2.1222178839999999</v>
      </c>
    </row>
    <row r="1498" spans="1:12" hidden="1">
      <c r="A1498" s="37" t="s">
        <v>2317</v>
      </c>
      <c r="B1498" s="37"/>
      <c r="C1498" s="37" t="s">
        <v>623</v>
      </c>
      <c r="D1498" s="64">
        <v>32108</v>
      </c>
      <c r="E1498" s="38">
        <v>3.72</v>
      </c>
      <c r="F1498" s="39">
        <v>1.1120479999999999</v>
      </c>
      <c r="G1498" s="38">
        <v>0.70354981999999999</v>
      </c>
      <c r="H1498" s="38">
        <v>0.10978625</v>
      </c>
      <c r="I1498" s="38">
        <v>0.17739592000000001</v>
      </c>
      <c r="J1498" s="38">
        <v>1.9437894000000001E-2</v>
      </c>
      <c r="K1498" s="38">
        <v>0</v>
      </c>
      <c r="L1498" s="40">
        <v>2.1222178839999999</v>
      </c>
    </row>
    <row r="1499" spans="1:12" hidden="1">
      <c r="A1499" s="37" t="s">
        <v>2318</v>
      </c>
      <c r="B1499" s="37"/>
      <c r="C1499" s="37" t="s">
        <v>623</v>
      </c>
      <c r="D1499" s="64">
        <v>32111</v>
      </c>
      <c r="E1499" s="38">
        <v>3.72</v>
      </c>
      <c r="F1499" s="39">
        <v>1.1120479999999999</v>
      </c>
      <c r="G1499" s="38">
        <v>0.70354981999999999</v>
      </c>
      <c r="H1499" s="38">
        <v>0.10978625</v>
      </c>
      <c r="I1499" s="38">
        <v>0.17739592000000001</v>
      </c>
      <c r="J1499" s="38">
        <v>1.9437894000000001E-2</v>
      </c>
      <c r="K1499" s="38">
        <v>0</v>
      </c>
      <c r="L1499" s="40">
        <v>2.1222178839999999</v>
      </c>
    </row>
    <row r="1500" spans="1:12" hidden="1">
      <c r="A1500" s="37" t="s">
        <v>2319</v>
      </c>
      <c r="B1500" s="37"/>
      <c r="C1500" s="37" t="s">
        <v>623</v>
      </c>
      <c r="D1500" s="64">
        <v>32138</v>
      </c>
      <c r="E1500" s="38">
        <v>3.72</v>
      </c>
      <c r="F1500" s="39">
        <v>1.1120479999999999</v>
      </c>
      <c r="G1500" s="38">
        <v>0.70354981999999999</v>
      </c>
      <c r="H1500" s="38">
        <v>0.10978625</v>
      </c>
      <c r="I1500" s="38">
        <v>0.17739592000000001</v>
      </c>
      <c r="J1500" s="38">
        <v>1.9437894000000001E-2</v>
      </c>
      <c r="K1500" s="38">
        <v>0</v>
      </c>
      <c r="L1500" s="40">
        <v>2.1222178839999999</v>
      </c>
    </row>
    <row r="1501" spans="1:12" hidden="1">
      <c r="A1501" s="37" t="s">
        <v>2320</v>
      </c>
      <c r="B1501" s="37"/>
      <c r="C1501" s="37" t="s">
        <v>623</v>
      </c>
      <c r="D1501" s="64">
        <v>32110</v>
      </c>
      <c r="E1501" s="38">
        <v>3.72</v>
      </c>
      <c r="F1501" s="39">
        <v>1.1120479999999999</v>
      </c>
      <c r="G1501" s="38">
        <v>0.70354981999999999</v>
      </c>
      <c r="H1501" s="38">
        <v>0.10978625</v>
      </c>
      <c r="I1501" s="38">
        <v>0.17739592000000001</v>
      </c>
      <c r="J1501" s="38">
        <v>1.9437894000000001E-2</v>
      </c>
      <c r="K1501" s="38">
        <v>0</v>
      </c>
      <c r="L1501" s="40">
        <v>2.1222178839999999</v>
      </c>
    </row>
    <row r="1502" spans="1:12" hidden="1">
      <c r="A1502" s="37" t="s">
        <v>2321</v>
      </c>
      <c r="B1502" s="37"/>
      <c r="C1502" s="37" t="s">
        <v>623</v>
      </c>
      <c r="D1502" s="64">
        <v>32113</v>
      </c>
      <c r="E1502" s="38">
        <v>3.72</v>
      </c>
      <c r="F1502" s="39">
        <v>1.1120479999999999</v>
      </c>
      <c r="G1502" s="38">
        <v>0.70354981999999999</v>
      </c>
      <c r="H1502" s="38">
        <v>0.10978625</v>
      </c>
      <c r="I1502" s="38">
        <v>0.17739592000000001</v>
      </c>
      <c r="J1502" s="38">
        <v>1.9437894000000001E-2</v>
      </c>
      <c r="K1502" s="38">
        <v>0</v>
      </c>
      <c r="L1502" s="40">
        <v>2.1222178839999999</v>
      </c>
    </row>
    <row r="1503" spans="1:12" hidden="1">
      <c r="A1503" s="37" t="s">
        <v>2322</v>
      </c>
      <c r="B1503" s="37"/>
      <c r="C1503" s="37" t="s">
        <v>623</v>
      </c>
      <c r="D1503" s="64">
        <v>32128</v>
      </c>
      <c r="E1503" s="38">
        <v>3.72</v>
      </c>
      <c r="F1503" s="39">
        <v>1.1120479999999999</v>
      </c>
      <c r="G1503" s="38">
        <v>0.70354981999999999</v>
      </c>
      <c r="H1503" s="38">
        <v>0.10978625</v>
      </c>
      <c r="I1503" s="38">
        <v>0.17739592000000001</v>
      </c>
      <c r="J1503" s="38">
        <v>1.9437894000000001E-2</v>
      </c>
      <c r="K1503" s="38">
        <v>0</v>
      </c>
      <c r="L1503" s="40">
        <v>2.1222178839999999</v>
      </c>
    </row>
    <row r="1504" spans="1:12" hidden="1">
      <c r="A1504" s="37" t="s">
        <v>2323</v>
      </c>
      <c r="B1504" s="37"/>
      <c r="C1504" s="37" t="s">
        <v>861</v>
      </c>
      <c r="D1504" s="64">
        <v>7256</v>
      </c>
      <c r="E1504" s="38">
        <v>2.34</v>
      </c>
      <c r="F1504" s="39">
        <v>0.38491878000000002</v>
      </c>
      <c r="G1504" s="38">
        <v>0.17831667000000001</v>
      </c>
      <c r="H1504" s="38">
        <v>0.28790921000000003</v>
      </c>
      <c r="I1504" s="38">
        <v>0.11036461</v>
      </c>
      <c r="J1504" s="38">
        <v>4.7861880000000002E-3</v>
      </c>
      <c r="K1504" s="38">
        <v>0</v>
      </c>
      <c r="L1504" s="40">
        <v>0.96629545800000005</v>
      </c>
    </row>
    <row r="1505" spans="1:12" hidden="1">
      <c r="A1505" s="37" t="s">
        <v>2324</v>
      </c>
      <c r="B1505" s="37"/>
      <c r="C1505" s="37" t="s">
        <v>861</v>
      </c>
      <c r="D1505" s="64">
        <v>7257</v>
      </c>
      <c r="E1505" s="38">
        <v>2.52</v>
      </c>
      <c r="F1505" s="39">
        <v>1.3612096</v>
      </c>
      <c r="G1505" s="38">
        <v>0.18420824999999999</v>
      </c>
      <c r="H1505" s="38">
        <v>0.28789851999999999</v>
      </c>
      <c r="I1505" s="38">
        <v>0.12631417</v>
      </c>
      <c r="J1505" s="38">
        <v>4.7861880000000002E-3</v>
      </c>
      <c r="K1505" s="38">
        <v>0</v>
      </c>
      <c r="L1505" s="40">
        <v>1.964416728</v>
      </c>
    </row>
    <row r="1506" spans="1:12" hidden="1">
      <c r="A1506" s="37" t="s">
        <v>2325</v>
      </c>
      <c r="B1506" s="37"/>
      <c r="C1506" s="37" t="s">
        <v>668</v>
      </c>
      <c r="D1506" s="64">
        <v>23950</v>
      </c>
      <c r="E1506" s="38">
        <v>2.19</v>
      </c>
      <c r="F1506" s="39">
        <v>3.4586033999999999</v>
      </c>
      <c r="G1506" s="38">
        <v>0.26138399000000001</v>
      </c>
      <c r="H1506" s="38">
        <v>0.28783962000000002</v>
      </c>
      <c r="I1506" s="38">
        <v>0.16449224000000001</v>
      </c>
      <c r="J1506" s="38">
        <v>1.9437894000000001E-2</v>
      </c>
      <c r="K1506" s="38">
        <v>0</v>
      </c>
      <c r="L1506" s="40">
        <v>4.1917571440000003</v>
      </c>
    </row>
    <row r="1507" spans="1:12" hidden="1">
      <c r="A1507" s="37" t="s">
        <v>2326</v>
      </c>
      <c r="B1507" s="37"/>
      <c r="C1507" s="37" t="s">
        <v>826</v>
      </c>
      <c r="D1507" s="64">
        <v>26091</v>
      </c>
      <c r="E1507" s="38">
        <v>3.64</v>
      </c>
      <c r="F1507" s="39">
        <v>9.3213296000000003</v>
      </c>
      <c r="G1507" s="38">
        <v>0</v>
      </c>
      <c r="H1507" s="38">
        <v>0.27530876999999998</v>
      </c>
      <c r="I1507" s="38">
        <v>1.1705296999999999</v>
      </c>
      <c r="J1507" s="38">
        <v>3.7353873000000003E-2</v>
      </c>
      <c r="K1507" s="38">
        <v>6.6736979E-3</v>
      </c>
      <c r="L1507" s="40">
        <v>10.811195640900001</v>
      </c>
    </row>
    <row r="1508" spans="1:12" hidden="1">
      <c r="A1508" s="37" t="s">
        <v>2327</v>
      </c>
      <c r="B1508" s="37"/>
      <c r="C1508" s="37" t="s">
        <v>873</v>
      </c>
      <c r="D1508" s="64">
        <v>26026</v>
      </c>
      <c r="E1508" s="38">
        <v>3.52</v>
      </c>
      <c r="F1508" s="39">
        <v>11.381883999999999</v>
      </c>
      <c r="G1508" s="38">
        <v>0</v>
      </c>
      <c r="H1508" s="38">
        <v>0.22504651000000001</v>
      </c>
      <c r="I1508" s="38">
        <v>1.4292847</v>
      </c>
      <c r="J1508" s="38">
        <v>4.5611246000000001E-2</v>
      </c>
      <c r="K1508" s="38">
        <v>9.4039550999999999E-2</v>
      </c>
      <c r="L1508" s="40">
        <v>13.175866007</v>
      </c>
    </row>
    <row r="1509" spans="1:12" hidden="1">
      <c r="A1509" s="37" t="s">
        <v>2328</v>
      </c>
      <c r="B1509" s="37"/>
      <c r="C1509" s="37" t="s">
        <v>623</v>
      </c>
      <c r="D1509" s="64">
        <v>32135</v>
      </c>
      <c r="E1509" s="38">
        <v>4.03</v>
      </c>
      <c r="F1509" s="39">
        <v>2.4106751000000002</v>
      </c>
      <c r="G1509" s="38">
        <v>0.53688698999999995</v>
      </c>
      <c r="H1509" s="38">
        <v>0.28123298000000002</v>
      </c>
      <c r="I1509" s="38">
        <v>0.25408389999999997</v>
      </c>
      <c r="J1509" s="38">
        <v>1.9437894000000001E-2</v>
      </c>
      <c r="K1509" s="38">
        <v>0</v>
      </c>
      <c r="L1509" s="40">
        <v>3.502316864</v>
      </c>
    </row>
    <row r="1510" spans="1:12" hidden="1">
      <c r="A1510" s="37" t="s">
        <v>2329</v>
      </c>
      <c r="B1510" s="37"/>
      <c r="C1510" s="37" t="s">
        <v>640</v>
      </c>
      <c r="D1510" s="64">
        <v>12039</v>
      </c>
      <c r="E1510" s="38">
        <v>2.2400000000000002</v>
      </c>
      <c r="F1510" s="39">
        <v>4.4938684999999996</v>
      </c>
      <c r="G1510" s="38">
        <v>0.25709436000000002</v>
      </c>
      <c r="H1510" s="38">
        <v>0.26233268999999998</v>
      </c>
      <c r="I1510" s="38">
        <v>0.21100323000000001</v>
      </c>
      <c r="J1510" s="38">
        <v>3.5969872999999999E-2</v>
      </c>
      <c r="K1510" s="38">
        <v>6.6736979E-3</v>
      </c>
      <c r="L1510" s="40">
        <v>5.2669423509</v>
      </c>
    </row>
    <row r="1511" spans="1:12" hidden="1">
      <c r="A1511" s="37" t="s">
        <v>2330</v>
      </c>
      <c r="B1511" s="37"/>
      <c r="C1511" s="37" t="s">
        <v>634</v>
      </c>
      <c r="D1511" s="64">
        <v>13029</v>
      </c>
      <c r="E1511" s="38">
        <v>2.68</v>
      </c>
      <c r="F1511" s="39">
        <v>0.68996367000000003</v>
      </c>
      <c r="G1511" s="38">
        <v>0</v>
      </c>
      <c r="H1511" s="38">
        <v>0</v>
      </c>
      <c r="I1511" s="38">
        <v>0.22561858000000001</v>
      </c>
      <c r="J1511" s="38">
        <v>1.2858654000000001E-2</v>
      </c>
      <c r="K1511" s="38">
        <v>9.9362450999999994E-3</v>
      </c>
      <c r="L1511" s="40">
        <v>0.93837714910000003</v>
      </c>
    </row>
    <row r="1512" spans="1:12" hidden="1">
      <c r="A1512" s="37" t="s">
        <v>2331</v>
      </c>
      <c r="B1512" s="37"/>
      <c r="C1512" s="37" t="s">
        <v>634</v>
      </c>
      <c r="D1512" s="64">
        <v>13150</v>
      </c>
      <c r="E1512" s="38">
        <v>2.93</v>
      </c>
      <c r="F1512" s="39">
        <v>0.68934269999999997</v>
      </c>
      <c r="G1512" s="38">
        <v>6.3264554999999997E-3</v>
      </c>
      <c r="H1512" s="38">
        <v>0.28118162000000002</v>
      </c>
      <c r="I1512" s="38">
        <v>0.22933803999999999</v>
      </c>
      <c r="J1512" s="38">
        <v>0.15226382999999999</v>
      </c>
      <c r="K1512" s="38">
        <v>2.5251829999999999E-2</v>
      </c>
      <c r="L1512" s="40">
        <v>1.3837044754999999</v>
      </c>
    </row>
    <row r="1513" spans="1:12" hidden="1">
      <c r="A1513" s="37" t="s">
        <v>2332</v>
      </c>
      <c r="B1513" s="37"/>
      <c r="C1513" s="37" t="s">
        <v>634</v>
      </c>
      <c r="D1513" s="64">
        <v>13071</v>
      </c>
      <c r="E1513" s="38">
        <v>3.01</v>
      </c>
      <c r="F1513" s="39">
        <v>0.83658094999999999</v>
      </c>
      <c r="G1513" s="38">
        <v>0</v>
      </c>
      <c r="H1513" s="38">
        <v>0</v>
      </c>
      <c r="I1513" s="38">
        <v>0.27356253000000003</v>
      </c>
      <c r="J1513" s="38">
        <v>1.5591117999999999E-2</v>
      </c>
      <c r="K1513" s="38">
        <v>8.0351048999999994E-2</v>
      </c>
      <c r="L1513" s="40">
        <v>1.2060856469999999</v>
      </c>
    </row>
    <row r="1514" spans="1:12" hidden="1">
      <c r="A1514" s="37" t="s">
        <v>2333</v>
      </c>
      <c r="B1514" s="37"/>
      <c r="C1514" s="37" t="s">
        <v>631</v>
      </c>
      <c r="D1514" s="64">
        <v>25610</v>
      </c>
      <c r="E1514" s="38">
        <v>2.21</v>
      </c>
      <c r="F1514" s="39">
        <v>21.148133999999999</v>
      </c>
      <c r="G1514" s="38">
        <v>5.2685020999999999E-2</v>
      </c>
      <c r="H1514" s="38">
        <v>0.27727707000000001</v>
      </c>
      <c r="I1514" s="38">
        <v>0.20163502999999999</v>
      </c>
      <c r="J1514" s="38">
        <v>3.7768032999999999E-2</v>
      </c>
      <c r="K1514" s="38">
        <v>6.6736979E-3</v>
      </c>
      <c r="L1514" s="40">
        <v>21.724172851899993</v>
      </c>
    </row>
    <row r="1515" spans="1:12" hidden="1">
      <c r="A1515" s="37" t="s">
        <v>2334</v>
      </c>
      <c r="B1515" s="37"/>
      <c r="C1515" s="37" t="s">
        <v>631</v>
      </c>
      <c r="D1515" s="64">
        <v>8406</v>
      </c>
      <c r="E1515" s="38">
        <v>2.92</v>
      </c>
      <c r="F1515" s="39">
        <v>1.4523737000000001</v>
      </c>
      <c r="G1515" s="38">
        <v>0.10462958</v>
      </c>
      <c r="H1515" s="38">
        <v>0.27727707000000001</v>
      </c>
      <c r="I1515" s="38">
        <v>0.19439112</v>
      </c>
      <c r="J1515" s="38">
        <v>3.7768032999999999E-2</v>
      </c>
      <c r="K1515" s="38">
        <v>9.2564276000000001E-2</v>
      </c>
      <c r="L1515" s="40">
        <v>2.1590037789999998</v>
      </c>
    </row>
    <row r="1516" spans="1:12" hidden="1">
      <c r="A1516" s="37" t="s">
        <v>2335</v>
      </c>
      <c r="B1516" s="37"/>
      <c r="C1516" s="37" t="s">
        <v>634</v>
      </c>
      <c r="D1516" s="64">
        <v>13028</v>
      </c>
      <c r="E1516" s="38">
        <v>2.68</v>
      </c>
      <c r="F1516" s="39">
        <v>0.63308777000000005</v>
      </c>
      <c r="G1516" s="38">
        <v>0</v>
      </c>
      <c r="H1516" s="38">
        <v>0</v>
      </c>
      <c r="I1516" s="38">
        <v>0.22561858000000001</v>
      </c>
      <c r="J1516" s="38">
        <v>1.2858654000000001E-2</v>
      </c>
      <c r="K1516" s="38">
        <v>9.9362450999999994E-3</v>
      </c>
      <c r="L1516" s="40">
        <v>0.88150124910000005</v>
      </c>
    </row>
    <row r="1517" spans="1:12" hidden="1">
      <c r="A1517" s="37" t="s">
        <v>2336</v>
      </c>
      <c r="B1517" s="37"/>
      <c r="C1517" s="37" t="s">
        <v>634</v>
      </c>
      <c r="D1517" s="64">
        <v>13132</v>
      </c>
      <c r="E1517" s="38">
        <v>2.93</v>
      </c>
      <c r="F1517" s="39">
        <v>0.63251798999999997</v>
      </c>
      <c r="G1517" s="38">
        <v>6.3264554999999997E-3</v>
      </c>
      <c r="H1517" s="38">
        <v>0.28118162000000002</v>
      </c>
      <c r="I1517" s="38">
        <v>0.22933803999999999</v>
      </c>
      <c r="J1517" s="38">
        <v>0.15226382999999999</v>
      </c>
      <c r="K1517" s="38">
        <v>2.5251829999999999E-2</v>
      </c>
      <c r="L1517" s="40">
        <v>1.3268797655</v>
      </c>
    </row>
    <row r="1518" spans="1:12" hidden="1">
      <c r="A1518" s="41" t="s">
        <v>2337</v>
      </c>
      <c r="B1518" s="41"/>
      <c r="C1518" s="41" t="s">
        <v>811</v>
      </c>
      <c r="D1518" s="65">
        <v>25124</v>
      </c>
      <c r="E1518" s="42">
        <v>2.62</v>
      </c>
      <c r="F1518" s="43">
        <v>24.592161999999998</v>
      </c>
      <c r="G1518" s="42">
        <v>0.25846010000000003</v>
      </c>
      <c r="H1518" s="42">
        <v>0.18550100999999999</v>
      </c>
      <c r="I1518" s="42">
        <v>0.2263713</v>
      </c>
      <c r="J1518" s="42">
        <v>3.7768032999999999E-2</v>
      </c>
      <c r="K1518" s="42">
        <v>1.7696322E-2</v>
      </c>
      <c r="L1518" s="44">
        <v>25.317958764999997</v>
      </c>
    </row>
    <row r="1519" spans="1:12" hidden="1">
      <c r="A1519" s="41" t="s">
        <v>2338</v>
      </c>
      <c r="B1519" s="41"/>
      <c r="C1519" s="41" t="s">
        <v>842</v>
      </c>
      <c r="D1519" s="65">
        <v>20033</v>
      </c>
      <c r="E1519" s="42">
        <v>2.92</v>
      </c>
      <c r="F1519" s="43">
        <v>9.5218848999999994E-2</v>
      </c>
      <c r="G1519" s="42">
        <v>0</v>
      </c>
      <c r="H1519" s="42">
        <v>0.26041069999999999</v>
      </c>
      <c r="I1519" s="42">
        <v>0.29653096000000001</v>
      </c>
      <c r="J1519" s="42">
        <v>1.2687019000000001E-2</v>
      </c>
      <c r="K1519" s="42">
        <v>0.13820644000000001</v>
      </c>
      <c r="L1519" s="44">
        <v>0.80305396800000006</v>
      </c>
    </row>
    <row r="1520" spans="1:12" hidden="1">
      <c r="A1520" s="41" t="s">
        <v>2339</v>
      </c>
      <c r="B1520" s="41"/>
      <c r="C1520" s="41" t="s">
        <v>842</v>
      </c>
      <c r="D1520" s="65">
        <v>20064</v>
      </c>
      <c r="E1520" s="42">
        <v>2.4300000000000002</v>
      </c>
      <c r="F1520" s="43">
        <v>8.0693939000000006E-2</v>
      </c>
      <c r="G1520" s="42">
        <v>0</v>
      </c>
      <c r="H1520" s="42">
        <v>0</v>
      </c>
      <c r="I1520" s="42">
        <v>0.24073502999999999</v>
      </c>
      <c r="J1520" s="42">
        <v>1.0751711000000001E-2</v>
      </c>
      <c r="K1520" s="42">
        <v>3.2140419000000003E-2</v>
      </c>
      <c r="L1520" s="44">
        <v>0.36432109899999998</v>
      </c>
    </row>
    <row r="1521" spans="1:12" hidden="1">
      <c r="A1521" s="41" t="s">
        <v>2340</v>
      </c>
      <c r="B1521" s="41"/>
      <c r="C1521" s="41" t="s">
        <v>842</v>
      </c>
      <c r="D1521" s="65">
        <v>20234</v>
      </c>
      <c r="E1521" s="42">
        <v>2.95</v>
      </c>
      <c r="F1521" s="43">
        <v>7.2987668000000006E-2</v>
      </c>
      <c r="G1521" s="42">
        <v>9.1766547000000004E-2</v>
      </c>
      <c r="H1521" s="42">
        <v>0.26232822</v>
      </c>
      <c r="I1521" s="42">
        <v>0.21372579999999999</v>
      </c>
      <c r="J1521" s="42">
        <v>6.8654974999999993E-2</v>
      </c>
      <c r="K1521" s="42">
        <v>2.5251829999999999E-2</v>
      </c>
      <c r="L1521" s="44">
        <v>0.73471503999999987</v>
      </c>
    </row>
    <row r="1522" spans="1:12" hidden="1">
      <c r="A1522" s="37" t="s">
        <v>2341</v>
      </c>
      <c r="B1522" s="37"/>
      <c r="C1522" s="37" t="s">
        <v>650</v>
      </c>
      <c r="D1522" s="64">
        <v>2043</v>
      </c>
      <c r="E1522" s="38">
        <v>2.0631614612717097</v>
      </c>
      <c r="F1522" s="39">
        <v>0.11536423</v>
      </c>
      <c r="G1522" s="38">
        <v>2.5693978999999999E-2</v>
      </c>
      <c r="H1522" s="38">
        <v>6.7418723E-2</v>
      </c>
      <c r="I1522" s="38">
        <v>0.10886266999999999</v>
      </c>
      <c r="J1522" s="38">
        <v>1.4619521E-2</v>
      </c>
      <c r="K1522" s="38">
        <v>0</v>
      </c>
      <c r="L1522" s="40">
        <v>0.33195912300000002</v>
      </c>
    </row>
    <row r="1523" spans="1:12" hidden="1">
      <c r="A1523" s="37" t="s">
        <v>2342</v>
      </c>
      <c r="B1523" s="37"/>
      <c r="C1523" s="37" t="s">
        <v>650</v>
      </c>
      <c r="D1523" s="64">
        <v>2366</v>
      </c>
      <c r="E1523" s="38">
        <v>2.111863731043873</v>
      </c>
      <c r="F1523" s="39">
        <v>0.14821989999999999</v>
      </c>
      <c r="G1523" s="38">
        <v>7.3368636000000001E-2</v>
      </c>
      <c r="H1523" s="38">
        <v>6.7418723E-2</v>
      </c>
      <c r="I1523" s="38">
        <v>0.16389509999999999</v>
      </c>
      <c r="J1523" s="38">
        <v>1.4619521E-2</v>
      </c>
      <c r="K1523" s="38">
        <v>0</v>
      </c>
      <c r="L1523" s="40">
        <v>0.46752188</v>
      </c>
    </row>
    <row r="1524" spans="1:12" hidden="1">
      <c r="A1524" s="37" t="s">
        <v>2343</v>
      </c>
      <c r="B1524" s="37"/>
      <c r="C1524" s="37" t="s">
        <v>650</v>
      </c>
      <c r="D1524" s="64">
        <v>2370</v>
      </c>
      <c r="E1524" s="38">
        <v>2.111863731043873</v>
      </c>
      <c r="F1524" s="39">
        <v>7.8503983999999999E-2</v>
      </c>
      <c r="G1524" s="38">
        <v>0.20008012999999999</v>
      </c>
      <c r="H1524" s="38">
        <v>6.7418723E-2</v>
      </c>
      <c r="I1524" s="38">
        <v>0.23370487000000001</v>
      </c>
      <c r="J1524" s="38">
        <v>1.4481653000000001E-2</v>
      </c>
      <c r="K1524" s="38">
        <v>0</v>
      </c>
      <c r="L1524" s="40">
        <v>0.59418936000000011</v>
      </c>
    </row>
    <row r="1525" spans="1:12" hidden="1">
      <c r="A1525" s="37" t="s">
        <v>2344</v>
      </c>
      <c r="B1525" s="37"/>
      <c r="C1525" s="37" t="s">
        <v>650</v>
      </c>
      <c r="D1525" s="64">
        <v>2371</v>
      </c>
      <c r="E1525" s="38">
        <v>2.0631614612717097</v>
      </c>
      <c r="F1525" s="39">
        <v>9.4997728000000004E-2</v>
      </c>
      <c r="G1525" s="38">
        <v>0.16311266999999999</v>
      </c>
      <c r="H1525" s="38">
        <v>0.47782284000000003</v>
      </c>
      <c r="I1525" s="38">
        <v>0.1796537</v>
      </c>
      <c r="J1525" s="38">
        <v>1.4619521E-2</v>
      </c>
      <c r="K1525" s="38">
        <v>0</v>
      </c>
      <c r="L1525" s="40">
        <v>0.9302064590000001</v>
      </c>
    </row>
    <row r="1526" spans="1:12" hidden="1">
      <c r="A1526" s="37" t="s">
        <v>2345</v>
      </c>
      <c r="B1526" s="37"/>
      <c r="C1526" s="37" t="s">
        <v>650</v>
      </c>
      <c r="D1526" s="64">
        <v>2054</v>
      </c>
      <c r="E1526" s="38">
        <v>2.111863731043873</v>
      </c>
      <c r="F1526" s="39">
        <v>5.1854467000000001E-2</v>
      </c>
      <c r="G1526" s="38">
        <v>0.10480017</v>
      </c>
      <c r="H1526" s="38">
        <v>0.47782284000000003</v>
      </c>
      <c r="I1526" s="38">
        <v>0.16919411000000001</v>
      </c>
      <c r="J1526" s="38">
        <v>1.4619521E-2</v>
      </c>
      <c r="K1526" s="38">
        <v>0</v>
      </c>
      <c r="L1526" s="40">
        <v>0.81829110799999993</v>
      </c>
    </row>
    <row r="1527" spans="1:12" hidden="1">
      <c r="A1527" s="37" t="s">
        <v>2346</v>
      </c>
      <c r="B1527" s="37"/>
      <c r="C1527" s="37" t="s">
        <v>650</v>
      </c>
      <c r="D1527" s="64">
        <v>2375</v>
      </c>
      <c r="E1527" s="38">
        <v>2.0480162151576726</v>
      </c>
      <c r="F1527" s="39">
        <v>9.8982834000000006E-2</v>
      </c>
      <c r="G1527" s="38">
        <v>0.32357566999999998</v>
      </c>
      <c r="H1527" s="38">
        <v>9.9850469999999997E-2</v>
      </c>
      <c r="I1527" s="38">
        <v>0.24187803999999999</v>
      </c>
      <c r="J1527" s="38">
        <v>1.4481653000000001E-2</v>
      </c>
      <c r="K1527" s="38">
        <v>0</v>
      </c>
      <c r="L1527" s="40">
        <v>0.77876866700000003</v>
      </c>
    </row>
    <row r="1528" spans="1:12" hidden="1">
      <c r="A1528" s="37" t="s">
        <v>2347</v>
      </c>
      <c r="B1528" s="37"/>
      <c r="C1528" s="37" t="s">
        <v>650</v>
      </c>
      <c r="D1528" s="64">
        <v>2060</v>
      </c>
      <c r="E1528" s="38">
        <v>3.68</v>
      </c>
      <c r="F1528" s="39">
        <v>0.23393654999999999</v>
      </c>
      <c r="G1528" s="38">
        <v>8.8360645000000002E-2</v>
      </c>
      <c r="H1528" s="38">
        <v>0.14862197999999999</v>
      </c>
      <c r="I1528" s="38">
        <v>0.32113777999999998</v>
      </c>
      <c r="J1528" s="38">
        <v>3.5836186999999999E-2</v>
      </c>
      <c r="K1528" s="38">
        <v>6.6736979E-3</v>
      </c>
      <c r="L1528" s="40">
        <v>0.83456683990000002</v>
      </c>
    </row>
    <row r="1529" spans="1:12" hidden="1">
      <c r="A1529" s="37" t="s">
        <v>2348</v>
      </c>
      <c r="B1529" s="37"/>
      <c r="C1529" s="37" t="s">
        <v>650</v>
      </c>
      <c r="D1529" s="64">
        <v>2061</v>
      </c>
      <c r="E1529" s="38">
        <v>3.68</v>
      </c>
      <c r="F1529" s="39">
        <v>0.23393654999999999</v>
      </c>
      <c r="G1529" s="38">
        <v>8.8360645000000002E-2</v>
      </c>
      <c r="H1529" s="38">
        <v>0.14862197999999999</v>
      </c>
      <c r="I1529" s="38">
        <v>0.32113777999999998</v>
      </c>
      <c r="J1529" s="38">
        <v>3.5836186999999999E-2</v>
      </c>
      <c r="K1529" s="38">
        <v>6.6736979E-3</v>
      </c>
      <c r="L1529" s="40">
        <v>0.83456683990000002</v>
      </c>
    </row>
    <row r="1530" spans="1:12" hidden="1">
      <c r="A1530" s="37" t="s">
        <v>2349</v>
      </c>
      <c r="B1530" s="37"/>
      <c r="C1530" s="37" t="s">
        <v>634</v>
      </c>
      <c r="D1530" s="64">
        <v>13030</v>
      </c>
      <c r="E1530" s="38">
        <v>2.9</v>
      </c>
      <c r="F1530" s="39">
        <v>0.27069047000000002</v>
      </c>
      <c r="G1530" s="38">
        <v>0</v>
      </c>
      <c r="H1530" s="38">
        <v>0</v>
      </c>
      <c r="I1530" s="38">
        <v>0.27356253000000003</v>
      </c>
      <c r="J1530" s="38">
        <v>1.2765701000000001E-2</v>
      </c>
      <c r="K1530" s="38">
        <v>8.0351048999999994E-2</v>
      </c>
      <c r="L1530" s="40">
        <v>0.63736975000000007</v>
      </c>
    </row>
    <row r="1531" spans="1:12" hidden="1">
      <c r="A1531" s="37" t="s">
        <v>2350</v>
      </c>
      <c r="B1531" s="37"/>
      <c r="C1531" s="37" t="s">
        <v>903</v>
      </c>
      <c r="D1531" s="64">
        <v>25420</v>
      </c>
      <c r="E1531" s="38">
        <v>1.92</v>
      </c>
      <c r="F1531" s="39">
        <v>2.2608158</v>
      </c>
      <c r="G1531" s="38">
        <v>0.48381323999999998</v>
      </c>
      <c r="H1531" s="38">
        <v>0.16440171000000001</v>
      </c>
      <c r="I1531" s="38">
        <v>0.27365734000000003</v>
      </c>
      <c r="J1531" s="38">
        <v>3.7768032999999999E-2</v>
      </c>
      <c r="K1531" s="38">
        <v>9.2564276000000001E-2</v>
      </c>
      <c r="L1531" s="40">
        <v>3.313020399</v>
      </c>
    </row>
    <row r="1532" spans="1:12" hidden="1">
      <c r="A1532" s="37" t="s">
        <v>2351</v>
      </c>
      <c r="B1532" s="37"/>
      <c r="C1532" s="37" t="s">
        <v>903</v>
      </c>
      <c r="D1532" s="64">
        <v>25583</v>
      </c>
      <c r="E1532" s="38">
        <v>2.3199999999999998</v>
      </c>
      <c r="F1532" s="39">
        <v>2.2608158</v>
      </c>
      <c r="G1532" s="38">
        <v>0.48381323999999998</v>
      </c>
      <c r="H1532" s="38">
        <v>0.16440171000000001</v>
      </c>
      <c r="I1532" s="38">
        <v>0.27365734000000003</v>
      </c>
      <c r="J1532" s="38">
        <v>3.7768032999999999E-2</v>
      </c>
      <c r="K1532" s="38">
        <v>9.2564276000000001E-2</v>
      </c>
      <c r="L1532" s="40">
        <v>3.313020399</v>
      </c>
    </row>
    <row r="1533" spans="1:12" hidden="1">
      <c r="A1533" s="37" t="s">
        <v>2352</v>
      </c>
      <c r="B1533" s="37"/>
      <c r="C1533" s="37" t="s">
        <v>903</v>
      </c>
      <c r="D1533" s="64">
        <v>25582</v>
      </c>
      <c r="E1533" s="38">
        <v>2.3199999999999998</v>
      </c>
      <c r="F1533" s="39">
        <v>2.2608158</v>
      </c>
      <c r="G1533" s="38">
        <v>0.48381323999999998</v>
      </c>
      <c r="H1533" s="38">
        <v>0.16440171000000001</v>
      </c>
      <c r="I1533" s="38">
        <v>0.27365734000000003</v>
      </c>
      <c r="J1533" s="38">
        <v>3.7768032999999999E-2</v>
      </c>
      <c r="K1533" s="38">
        <v>9.2564276000000001E-2</v>
      </c>
      <c r="L1533" s="40">
        <v>3.313020399</v>
      </c>
    </row>
    <row r="1534" spans="1:12" hidden="1">
      <c r="A1534" s="37" t="s">
        <v>2353</v>
      </c>
      <c r="B1534" s="37"/>
      <c r="C1534" s="37" t="s">
        <v>903</v>
      </c>
      <c r="D1534" s="64">
        <v>25584</v>
      </c>
      <c r="E1534" s="38">
        <v>2.3199999999999998</v>
      </c>
      <c r="F1534" s="39">
        <v>2.2608158</v>
      </c>
      <c r="G1534" s="38">
        <v>0.48381323999999998</v>
      </c>
      <c r="H1534" s="38">
        <v>0.16440171000000001</v>
      </c>
      <c r="I1534" s="38">
        <v>0.27365734000000003</v>
      </c>
      <c r="J1534" s="38">
        <v>3.7768032999999999E-2</v>
      </c>
      <c r="K1534" s="38">
        <v>9.2564276000000001E-2</v>
      </c>
      <c r="L1534" s="40">
        <v>3.313020399</v>
      </c>
    </row>
    <row r="1535" spans="1:12" hidden="1">
      <c r="A1535" s="37" t="s">
        <v>2354</v>
      </c>
      <c r="B1535" s="37"/>
      <c r="C1535" s="37" t="s">
        <v>640</v>
      </c>
      <c r="D1535" s="64">
        <v>12031</v>
      </c>
      <c r="E1535" s="38">
        <v>2.2400000000000002</v>
      </c>
      <c r="F1535" s="39">
        <v>4.0659020999999997</v>
      </c>
      <c r="G1535" s="38">
        <v>0.28168599</v>
      </c>
      <c r="H1535" s="38">
        <v>0.26233268999999998</v>
      </c>
      <c r="I1535" s="38">
        <v>0.21100323000000001</v>
      </c>
      <c r="J1535" s="38">
        <v>3.5969872999999999E-2</v>
      </c>
      <c r="K1535" s="38">
        <v>6.6736979E-3</v>
      </c>
      <c r="L1535" s="40">
        <v>4.8635675808999999</v>
      </c>
    </row>
    <row r="1536" spans="1:12" hidden="1">
      <c r="A1536" s="37" t="s">
        <v>2355</v>
      </c>
      <c r="B1536" s="37"/>
      <c r="C1536" s="37" t="s">
        <v>637</v>
      </c>
      <c r="D1536" s="64">
        <v>15004</v>
      </c>
      <c r="E1536" s="38">
        <v>3.31</v>
      </c>
      <c r="F1536" s="39">
        <v>4.1880838999999996</v>
      </c>
      <c r="G1536" s="38">
        <v>0.19366700000000001</v>
      </c>
      <c r="H1536" s="38">
        <v>0</v>
      </c>
      <c r="I1536" s="38">
        <v>0.24855809000000001</v>
      </c>
      <c r="J1536" s="38">
        <v>2.2656431000000001E-2</v>
      </c>
      <c r="K1536" s="38">
        <v>0</v>
      </c>
      <c r="L1536" s="40">
        <v>4.6529654209999993</v>
      </c>
    </row>
    <row r="1537" spans="1:12" hidden="1">
      <c r="A1537" s="37" t="s">
        <v>2356</v>
      </c>
      <c r="B1537" s="37"/>
      <c r="C1537" s="37" t="s">
        <v>637</v>
      </c>
      <c r="D1537" s="64">
        <v>15033</v>
      </c>
      <c r="E1537" s="38">
        <v>3.31</v>
      </c>
      <c r="F1537" s="39">
        <v>4.1880838999999996</v>
      </c>
      <c r="G1537" s="38">
        <v>0.19366700000000001</v>
      </c>
      <c r="H1537" s="38">
        <v>0.26506589000000003</v>
      </c>
      <c r="I1537" s="38">
        <v>0.25362533999999998</v>
      </c>
      <c r="J1537" s="38">
        <v>2.2656431000000001E-2</v>
      </c>
      <c r="K1537" s="38">
        <v>0</v>
      </c>
      <c r="L1537" s="40">
        <v>4.9230985609999989</v>
      </c>
    </row>
    <row r="1538" spans="1:12" hidden="1">
      <c r="A1538" s="37" t="s">
        <v>2357</v>
      </c>
      <c r="B1538" s="37"/>
      <c r="C1538" s="37" t="s">
        <v>637</v>
      </c>
      <c r="D1538" s="64">
        <v>15050</v>
      </c>
      <c r="E1538" s="38">
        <v>3.31</v>
      </c>
      <c r="F1538" s="39">
        <v>4.1880838999999996</v>
      </c>
      <c r="G1538" s="38">
        <v>0.19366700000000001</v>
      </c>
      <c r="H1538" s="38">
        <v>0.26506589000000003</v>
      </c>
      <c r="I1538" s="38">
        <v>0.25362533999999998</v>
      </c>
      <c r="J1538" s="38">
        <v>2.2656431000000001E-2</v>
      </c>
      <c r="K1538" s="38">
        <v>0</v>
      </c>
      <c r="L1538" s="40">
        <v>4.9230985609999989</v>
      </c>
    </row>
    <row r="1539" spans="1:12" hidden="1">
      <c r="A1539" s="37" t="s">
        <v>2358</v>
      </c>
      <c r="B1539" s="37"/>
      <c r="C1539" s="37" t="s">
        <v>637</v>
      </c>
      <c r="D1539" s="64">
        <v>15019</v>
      </c>
      <c r="E1539" s="38">
        <v>4.03</v>
      </c>
      <c r="F1539" s="39">
        <v>2.5921525000000001</v>
      </c>
      <c r="G1539" s="38">
        <v>0.19366700000000001</v>
      </c>
      <c r="H1539" s="38">
        <v>0.34882972000000001</v>
      </c>
      <c r="I1539" s="38">
        <v>0.45159495999999999</v>
      </c>
      <c r="J1539" s="38">
        <v>2.2656431000000001E-2</v>
      </c>
      <c r="K1539" s="38">
        <v>0</v>
      </c>
      <c r="L1539" s="40">
        <v>3.6089006110000001</v>
      </c>
    </row>
    <row r="1540" spans="1:12" hidden="1">
      <c r="A1540" s="37" t="s">
        <v>2359</v>
      </c>
      <c r="B1540" s="37"/>
      <c r="C1540" s="37" t="s">
        <v>637</v>
      </c>
      <c r="D1540" s="64">
        <v>15014</v>
      </c>
      <c r="E1540" s="38">
        <v>4.83</v>
      </c>
      <c r="F1540" s="39">
        <v>1.1287117</v>
      </c>
      <c r="G1540" s="38">
        <v>0</v>
      </c>
      <c r="H1540" s="38">
        <v>0.53013177</v>
      </c>
      <c r="I1540" s="38">
        <v>0.4682019</v>
      </c>
      <c r="J1540" s="38">
        <v>4.5312862000000002E-2</v>
      </c>
      <c r="K1540" s="38">
        <v>0.32140418999999998</v>
      </c>
      <c r="L1540" s="40">
        <v>2.4937624219999996</v>
      </c>
    </row>
    <row r="1541" spans="1:12" hidden="1">
      <c r="A1541" s="37" t="s">
        <v>2360</v>
      </c>
      <c r="B1541" s="37"/>
      <c r="C1541" s="37" t="s">
        <v>637</v>
      </c>
      <c r="D1541" s="64">
        <v>15006</v>
      </c>
      <c r="E1541" s="38">
        <v>4.3600000000000003</v>
      </c>
      <c r="F1541" s="39">
        <v>1.1287117</v>
      </c>
      <c r="G1541" s="38">
        <v>0</v>
      </c>
      <c r="H1541" s="38">
        <v>0.53013177</v>
      </c>
      <c r="I1541" s="38">
        <v>0.4682019</v>
      </c>
      <c r="J1541" s="38">
        <v>4.5312862000000002E-2</v>
      </c>
      <c r="K1541" s="38">
        <v>0.32140418999999998</v>
      </c>
      <c r="L1541" s="40">
        <v>2.4937624219999996</v>
      </c>
    </row>
    <row r="1542" spans="1:12" hidden="1">
      <c r="A1542" s="37" t="s">
        <v>2361</v>
      </c>
      <c r="B1542" s="37"/>
      <c r="C1542" s="37" t="s">
        <v>637</v>
      </c>
      <c r="D1542" s="64">
        <v>15007</v>
      </c>
      <c r="E1542" s="38">
        <v>4.3600000000000003</v>
      </c>
      <c r="F1542" s="39">
        <v>1.1287117</v>
      </c>
      <c r="G1542" s="38">
        <v>0</v>
      </c>
      <c r="H1542" s="38">
        <v>0.53013177</v>
      </c>
      <c r="I1542" s="38">
        <v>0.4682019</v>
      </c>
      <c r="J1542" s="38">
        <v>4.5312862000000002E-2</v>
      </c>
      <c r="K1542" s="38">
        <v>0.32140418999999998</v>
      </c>
      <c r="L1542" s="40">
        <v>2.4937624219999996</v>
      </c>
    </row>
    <row r="1543" spans="1:12" hidden="1">
      <c r="A1543" s="37" t="s">
        <v>2362</v>
      </c>
      <c r="B1543" s="37"/>
      <c r="C1543" s="37" t="s">
        <v>637</v>
      </c>
      <c r="D1543" s="64">
        <v>15027</v>
      </c>
      <c r="E1543" s="38">
        <v>3.7</v>
      </c>
      <c r="F1543" s="39">
        <v>3.0057326999999998</v>
      </c>
      <c r="G1543" s="38">
        <v>0.19366700000000001</v>
      </c>
      <c r="H1543" s="38">
        <v>0.26506589000000003</v>
      </c>
      <c r="I1543" s="38">
        <v>0.15881372999999999</v>
      </c>
      <c r="J1543" s="38">
        <v>2.2656431000000001E-2</v>
      </c>
      <c r="K1543" s="38">
        <v>0</v>
      </c>
      <c r="L1543" s="40">
        <v>3.6459357509999997</v>
      </c>
    </row>
    <row r="1544" spans="1:12" hidden="1">
      <c r="A1544" s="37" t="s">
        <v>2363</v>
      </c>
      <c r="B1544" s="37"/>
      <c r="C1544" s="37" t="s">
        <v>637</v>
      </c>
      <c r="D1544" s="64">
        <v>15043</v>
      </c>
      <c r="E1544" s="38">
        <v>3.33</v>
      </c>
      <c r="F1544" s="39">
        <v>3.0057326999999998</v>
      </c>
      <c r="G1544" s="38">
        <v>0.19366700000000001</v>
      </c>
      <c r="H1544" s="38">
        <v>0.26506589000000003</v>
      </c>
      <c r="I1544" s="38">
        <v>0.15881372999999999</v>
      </c>
      <c r="J1544" s="38">
        <v>2.2656431000000001E-2</v>
      </c>
      <c r="K1544" s="38">
        <v>0</v>
      </c>
      <c r="L1544" s="40">
        <v>3.6459357509999997</v>
      </c>
    </row>
    <row r="1545" spans="1:12" hidden="1">
      <c r="A1545" s="37" t="s">
        <v>2364</v>
      </c>
      <c r="B1545" s="37"/>
      <c r="C1545" s="37" t="s">
        <v>1199</v>
      </c>
      <c r="D1545" s="64">
        <v>11048</v>
      </c>
      <c r="E1545" s="38">
        <v>3.75</v>
      </c>
      <c r="F1545" s="39">
        <v>0.35462091000000001</v>
      </c>
      <c r="G1545" s="38">
        <v>0</v>
      </c>
      <c r="H1545" s="38">
        <v>0.47782284000000003</v>
      </c>
      <c r="I1545" s="38">
        <v>0.34082821000000002</v>
      </c>
      <c r="J1545" s="38">
        <v>1.5675970000000001E-2</v>
      </c>
      <c r="K1545" s="38">
        <v>0</v>
      </c>
      <c r="L1545" s="40">
        <v>1.1889479300000001</v>
      </c>
    </row>
    <row r="1546" spans="1:12" hidden="1">
      <c r="A1546" s="37" t="s">
        <v>2365</v>
      </c>
      <c r="B1546" s="37"/>
      <c r="C1546" s="37" t="s">
        <v>637</v>
      </c>
      <c r="D1546" s="64">
        <v>15026</v>
      </c>
      <c r="E1546" s="38">
        <v>3.7</v>
      </c>
      <c r="F1546" s="39">
        <v>3.0057326999999998</v>
      </c>
      <c r="G1546" s="38">
        <v>0.19366700000000001</v>
      </c>
      <c r="H1546" s="38">
        <v>0.26506589000000003</v>
      </c>
      <c r="I1546" s="38">
        <v>0.15881372999999999</v>
      </c>
      <c r="J1546" s="38">
        <v>2.2656431000000001E-2</v>
      </c>
      <c r="K1546" s="38">
        <v>0</v>
      </c>
      <c r="L1546" s="40">
        <v>3.6459357509999997</v>
      </c>
    </row>
    <row r="1547" spans="1:12" hidden="1">
      <c r="A1547" s="37" t="s">
        <v>2366</v>
      </c>
      <c r="B1547" s="37"/>
      <c r="C1547" s="37" t="s">
        <v>637</v>
      </c>
      <c r="D1547" s="64">
        <v>15046</v>
      </c>
      <c r="E1547" s="38">
        <v>3.33</v>
      </c>
      <c r="F1547" s="39">
        <v>3.0057326999999998</v>
      </c>
      <c r="G1547" s="38">
        <v>0.19366700000000001</v>
      </c>
      <c r="H1547" s="38">
        <v>0.26506589000000003</v>
      </c>
      <c r="I1547" s="38">
        <v>0.15881372999999999</v>
      </c>
      <c r="J1547" s="38">
        <v>2.2656431000000001E-2</v>
      </c>
      <c r="K1547" s="38">
        <v>0</v>
      </c>
      <c r="L1547" s="40">
        <v>3.6459357509999997</v>
      </c>
    </row>
    <row r="1548" spans="1:12" hidden="1">
      <c r="A1548" s="37" t="s">
        <v>2367</v>
      </c>
      <c r="B1548" s="37"/>
      <c r="C1548" s="37" t="s">
        <v>637</v>
      </c>
      <c r="D1548" s="64">
        <v>15008</v>
      </c>
      <c r="E1548" s="38">
        <v>3.65</v>
      </c>
      <c r="F1548" s="39">
        <v>6.2125741999999997</v>
      </c>
      <c r="G1548" s="38">
        <v>0.19366700000000001</v>
      </c>
      <c r="H1548" s="38">
        <v>0.26506589000000003</v>
      </c>
      <c r="I1548" s="38">
        <v>0.65694127000000002</v>
      </c>
      <c r="J1548" s="38">
        <v>2.2656431000000001E-2</v>
      </c>
      <c r="K1548" s="38">
        <v>0</v>
      </c>
      <c r="L1548" s="40">
        <v>7.3509047909999987</v>
      </c>
    </row>
    <row r="1549" spans="1:12" hidden="1">
      <c r="A1549" s="41" t="s">
        <v>2368</v>
      </c>
      <c r="B1549" s="41"/>
      <c r="C1549" s="41" t="s">
        <v>637</v>
      </c>
      <c r="D1549" s="65">
        <v>15023</v>
      </c>
      <c r="E1549" s="42">
        <v>2.95</v>
      </c>
      <c r="F1549" s="43">
        <v>3.0057326999999998</v>
      </c>
      <c r="G1549" s="42">
        <v>0</v>
      </c>
      <c r="H1549" s="42">
        <v>0.53013177</v>
      </c>
      <c r="I1549" s="42">
        <v>0.26225738999999998</v>
      </c>
      <c r="J1549" s="42">
        <v>4.5312862000000002E-2</v>
      </c>
      <c r="K1549" s="42">
        <v>0.32140418999999998</v>
      </c>
      <c r="L1549" s="44">
        <v>4.1648389119999996</v>
      </c>
    </row>
    <row r="1550" spans="1:12" hidden="1">
      <c r="A1550" s="41" t="s">
        <v>2369</v>
      </c>
      <c r="B1550" s="41"/>
      <c r="C1550" s="41" t="s">
        <v>637</v>
      </c>
      <c r="D1550" s="65">
        <v>15005</v>
      </c>
      <c r="E1550" s="42">
        <v>2.95</v>
      </c>
      <c r="F1550" s="43">
        <v>3.0057326999999998</v>
      </c>
      <c r="G1550" s="42">
        <v>0</v>
      </c>
      <c r="H1550" s="42">
        <v>0.53013177</v>
      </c>
      <c r="I1550" s="42">
        <v>0.26225738999999998</v>
      </c>
      <c r="J1550" s="42">
        <v>4.5312862000000002E-2</v>
      </c>
      <c r="K1550" s="42">
        <v>0.32140418999999998</v>
      </c>
      <c r="L1550" s="44">
        <v>4.1648389119999996</v>
      </c>
    </row>
    <row r="1551" spans="1:12" hidden="1">
      <c r="A1551" s="37" t="s">
        <v>2370</v>
      </c>
      <c r="B1551" s="37"/>
      <c r="C1551" s="37" t="s">
        <v>784</v>
      </c>
      <c r="D1551" s="64">
        <v>20987</v>
      </c>
      <c r="E1551" s="38">
        <v>2.99</v>
      </c>
      <c r="F1551" s="39">
        <v>4.5528129000000002</v>
      </c>
      <c r="G1551" s="38">
        <v>1.4896054000000001</v>
      </c>
      <c r="H1551" s="38">
        <v>0.28987795999999999</v>
      </c>
      <c r="I1551" s="38">
        <v>0.38352982000000002</v>
      </c>
      <c r="J1551" s="38">
        <v>2.0039066000000001E-2</v>
      </c>
      <c r="K1551" s="38">
        <v>9.9403358999999997E-3</v>
      </c>
      <c r="L1551" s="40">
        <v>6.7458054818999997</v>
      </c>
    </row>
    <row r="1552" spans="1:12" hidden="1">
      <c r="A1552" s="37" t="s">
        <v>2371</v>
      </c>
      <c r="B1552" s="37"/>
      <c r="C1552" s="37" t="s">
        <v>1151</v>
      </c>
      <c r="D1552" s="64">
        <v>39529</v>
      </c>
      <c r="E1552" s="38">
        <v>3.45</v>
      </c>
      <c r="F1552" s="39">
        <v>1.0539407999999999</v>
      </c>
      <c r="G1552" s="38">
        <v>0.21512698</v>
      </c>
      <c r="H1552" s="38">
        <v>0.18042667000000001</v>
      </c>
      <c r="I1552" s="38">
        <v>0.19674195</v>
      </c>
      <c r="J1552" s="38">
        <v>6.5229756E-2</v>
      </c>
      <c r="K1552" s="38">
        <v>2.5251829999999999E-2</v>
      </c>
      <c r="L1552" s="40">
        <v>1.7367179859999999</v>
      </c>
    </row>
    <row r="1553" spans="1:12" hidden="1">
      <c r="A1553" s="37" t="s">
        <v>2372</v>
      </c>
      <c r="B1553" s="37"/>
      <c r="C1553" s="37" t="s">
        <v>666</v>
      </c>
      <c r="D1553" s="64">
        <v>31033</v>
      </c>
      <c r="E1553" s="38">
        <v>2.89</v>
      </c>
      <c r="F1553" s="39">
        <v>1.2239542999999999</v>
      </c>
      <c r="G1553" s="38">
        <v>0.25810086999999998</v>
      </c>
      <c r="H1553" s="38">
        <v>0.27079121</v>
      </c>
      <c r="I1553" s="38">
        <v>0.21898893</v>
      </c>
      <c r="J1553" s="38">
        <v>1.7263204000000001E-2</v>
      </c>
      <c r="K1553" s="38">
        <v>0</v>
      </c>
      <c r="L1553" s="40">
        <v>1.9890985140000002</v>
      </c>
    </row>
    <row r="1554" spans="1:12" hidden="1">
      <c r="A1554" s="37" t="s">
        <v>2373</v>
      </c>
      <c r="B1554" s="37"/>
      <c r="C1554" s="37" t="s">
        <v>816</v>
      </c>
      <c r="D1554" s="64">
        <v>9863</v>
      </c>
      <c r="E1554" s="38">
        <v>2.2200000000000002</v>
      </c>
      <c r="F1554" s="39">
        <v>1.0115984</v>
      </c>
      <c r="G1554" s="38">
        <v>0.24733171000000001</v>
      </c>
      <c r="H1554" s="38">
        <v>0.27092033999999998</v>
      </c>
      <c r="I1554" s="38">
        <v>0.11380002</v>
      </c>
      <c r="J1554" s="38">
        <v>1.7263621E-2</v>
      </c>
      <c r="K1554" s="38">
        <v>0</v>
      </c>
      <c r="L1554" s="40">
        <v>1.660914091</v>
      </c>
    </row>
    <row r="1555" spans="1:12" hidden="1">
      <c r="A1555" s="37" t="s">
        <v>2374</v>
      </c>
      <c r="B1555" s="37"/>
      <c r="C1555" s="37" t="s">
        <v>816</v>
      </c>
      <c r="D1555" s="64">
        <v>9085</v>
      </c>
      <c r="E1555" s="38">
        <v>2.2200000000000002</v>
      </c>
      <c r="F1555" s="39">
        <v>0.82917901999999999</v>
      </c>
      <c r="G1555" s="38">
        <v>0.16941397</v>
      </c>
      <c r="H1555" s="38">
        <v>0.18560372999999999</v>
      </c>
      <c r="I1555" s="38">
        <v>0.11237585999999999</v>
      </c>
      <c r="J1555" s="38">
        <v>2.9337966E-2</v>
      </c>
      <c r="K1555" s="38">
        <v>1.1022624E-2</v>
      </c>
      <c r="L1555" s="40">
        <v>1.33693317</v>
      </c>
    </row>
    <row r="1556" spans="1:12" hidden="1">
      <c r="A1556" s="37" t="s">
        <v>2375</v>
      </c>
      <c r="B1556" s="37"/>
      <c r="C1556" s="37" t="s">
        <v>816</v>
      </c>
      <c r="D1556" s="64">
        <v>9086</v>
      </c>
      <c r="E1556" s="38">
        <v>2.2200000000000002</v>
      </c>
      <c r="F1556" s="39">
        <v>0.82917901999999999</v>
      </c>
      <c r="G1556" s="38">
        <v>0.16941397</v>
      </c>
      <c r="H1556" s="38">
        <v>0.18560372999999999</v>
      </c>
      <c r="I1556" s="38">
        <v>0.11237585999999999</v>
      </c>
      <c r="J1556" s="38">
        <v>2.9337966E-2</v>
      </c>
      <c r="K1556" s="38">
        <v>1.1022624E-2</v>
      </c>
      <c r="L1556" s="40">
        <v>1.33693317</v>
      </c>
    </row>
    <row r="1557" spans="1:12" hidden="1">
      <c r="A1557" s="37" t="s">
        <v>2376</v>
      </c>
      <c r="B1557" s="37"/>
      <c r="C1557" s="37" t="s">
        <v>811</v>
      </c>
      <c r="D1557" s="64">
        <v>25183</v>
      </c>
      <c r="E1557" s="38">
        <v>2.2200000000000002</v>
      </c>
      <c r="F1557" s="39">
        <v>2.0992039999999998</v>
      </c>
      <c r="G1557" s="38">
        <v>0.48896300999999998</v>
      </c>
      <c r="H1557" s="38">
        <v>0.18194651000000001</v>
      </c>
      <c r="I1557" s="38">
        <v>0.28090876999999997</v>
      </c>
      <c r="J1557" s="38">
        <v>2.6628465E-2</v>
      </c>
      <c r="K1557" s="38">
        <v>1.7696322E-2</v>
      </c>
      <c r="L1557" s="40">
        <v>3.0953470769999996</v>
      </c>
    </row>
    <row r="1558" spans="1:12" hidden="1">
      <c r="A1558" s="41" t="s">
        <v>2377</v>
      </c>
      <c r="B1558" s="41"/>
      <c r="C1558" s="41" t="s">
        <v>1115</v>
      </c>
      <c r="D1558" s="65" t="s">
        <v>2378</v>
      </c>
      <c r="E1558" s="42">
        <v>1.9639514706612098</v>
      </c>
      <c r="F1558" s="43">
        <v>0.36550869000000002</v>
      </c>
      <c r="G1558" s="42">
        <v>0.72979850000000002</v>
      </c>
      <c r="H1558" s="42">
        <v>0.18458464999999999</v>
      </c>
      <c r="I1558" s="42">
        <v>0.18155760000000001</v>
      </c>
      <c r="J1558" s="42">
        <v>3.2137934E-2</v>
      </c>
      <c r="K1558" s="42">
        <v>8.6768135999999996E-2</v>
      </c>
      <c r="L1558" s="44">
        <v>1.58035551</v>
      </c>
    </row>
    <row r="1559" spans="1:12" hidden="1">
      <c r="A1559" s="37" t="s">
        <v>2379</v>
      </c>
      <c r="B1559" s="37"/>
      <c r="C1559" s="37" t="s">
        <v>2380</v>
      </c>
      <c r="D1559" s="64">
        <v>22060</v>
      </c>
      <c r="E1559" s="38">
        <v>3.41</v>
      </c>
      <c r="F1559" s="39">
        <v>2.7858187999999999</v>
      </c>
      <c r="G1559" s="38">
        <v>0</v>
      </c>
      <c r="H1559" s="38">
        <v>0.12481309</v>
      </c>
      <c r="I1559" s="38">
        <v>0.16886546</v>
      </c>
      <c r="J1559" s="38">
        <v>8.4079787000000007E-3</v>
      </c>
      <c r="K1559" s="38">
        <v>8.0351048999999994E-2</v>
      </c>
      <c r="L1559" s="40">
        <v>3.1682563777000001</v>
      </c>
    </row>
    <row r="1560" spans="1:12" hidden="1">
      <c r="A1560" s="41" t="s">
        <v>2381</v>
      </c>
      <c r="B1560" s="41"/>
      <c r="C1560" s="41" t="s">
        <v>2380</v>
      </c>
      <c r="D1560" s="65">
        <v>22080</v>
      </c>
      <c r="E1560" s="42">
        <v>3.41</v>
      </c>
      <c r="F1560" s="43">
        <v>2.4762833999999998</v>
      </c>
      <c r="G1560" s="42">
        <v>0</v>
      </c>
      <c r="H1560" s="42">
        <v>0.11094527999999999</v>
      </c>
      <c r="I1560" s="42">
        <v>0.15010262999999999</v>
      </c>
      <c r="J1560" s="42">
        <v>7.4737587999999999E-3</v>
      </c>
      <c r="K1560" s="42">
        <v>3.5675369999999998E-2</v>
      </c>
      <c r="L1560" s="44">
        <v>2.7804804387999997</v>
      </c>
    </row>
    <row r="1561" spans="1:12" hidden="1">
      <c r="A1561" s="37" t="s">
        <v>2382</v>
      </c>
      <c r="B1561" s="37"/>
      <c r="C1561" s="37" t="s">
        <v>2380</v>
      </c>
      <c r="D1561" s="64">
        <v>22070</v>
      </c>
      <c r="E1561" s="38">
        <v>3.41</v>
      </c>
      <c r="F1561" s="39">
        <v>2.7858187999999999</v>
      </c>
      <c r="G1561" s="38">
        <v>0</v>
      </c>
      <c r="H1561" s="38">
        <v>0.12481309</v>
      </c>
      <c r="I1561" s="38">
        <v>0.16886546</v>
      </c>
      <c r="J1561" s="38">
        <v>8.4079787000000007E-3</v>
      </c>
      <c r="K1561" s="38">
        <v>8.0351048999999994E-2</v>
      </c>
      <c r="L1561" s="40">
        <v>3.1682563777000001</v>
      </c>
    </row>
    <row r="1562" spans="1:12" hidden="1">
      <c r="A1562" s="37" t="s">
        <v>2383</v>
      </c>
      <c r="B1562" s="37"/>
      <c r="C1562" s="37" t="s">
        <v>2380</v>
      </c>
      <c r="D1562" s="64">
        <v>22014</v>
      </c>
      <c r="E1562" s="38">
        <v>2.44</v>
      </c>
      <c r="F1562" s="39">
        <v>2.8599926999999998</v>
      </c>
      <c r="G1562" s="38">
        <v>0</v>
      </c>
      <c r="H1562" s="38">
        <v>0.12813630000000001</v>
      </c>
      <c r="I1562" s="38">
        <v>0.28329865999999998</v>
      </c>
      <c r="J1562" s="38">
        <v>7.7059406999999996E-2</v>
      </c>
      <c r="K1562" s="38">
        <v>0.44823774999999999</v>
      </c>
      <c r="L1562" s="40">
        <v>3.7967248169999999</v>
      </c>
    </row>
    <row r="1563" spans="1:12" hidden="1">
      <c r="A1563" s="37" t="s">
        <v>2384</v>
      </c>
      <c r="B1563" s="37"/>
      <c r="C1563" s="37" t="s">
        <v>2380</v>
      </c>
      <c r="D1563" s="64">
        <v>22505</v>
      </c>
      <c r="E1563" s="38">
        <v>2.81</v>
      </c>
      <c r="F1563" s="39">
        <v>2.8698769</v>
      </c>
      <c r="G1563" s="38">
        <v>1.0594777999999999E-3</v>
      </c>
      <c r="H1563" s="38">
        <v>0.12813616</v>
      </c>
      <c r="I1563" s="38">
        <v>0.28391999000000001</v>
      </c>
      <c r="J1563" s="38">
        <v>7.7059406999999996E-2</v>
      </c>
      <c r="K1563" s="38">
        <v>0.10718096000000001</v>
      </c>
      <c r="L1563" s="40">
        <v>3.4672328948000004</v>
      </c>
    </row>
    <row r="1564" spans="1:12" hidden="1">
      <c r="A1564" s="37" t="s">
        <v>2385</v>
      </c>
      <c r="B1564" s="37"/>
      <c r="C1564" s="37" t="s">
        <v>2380</v>
      </c>
      <c r="D1564" s="64">
        <v>22001</v>
      </c>
      <c r="E1564" s="38">
        <v>2.64</v>
      </c>
      <c r="F1564" s="39">
        <v>3.0955089999999998</v>
      </c>
      <c r="G1564" s="38">
        <v>2.6627827E-2</v>
      </c>
      <c r="H1564" s="38">
        <v>0.12481309</v>
      </c>
      <c r="I1564" s="38">
        <v>0.17267367</v>
      </c>
      <c r="J1564" s="38">
        <v>8.4079787000000007E-3</v>
      </c>
      <c r="K1564" s="38">
        <v>8.0351048999999994E-2</v>
      </c>
      <c r="L1564" s="40">
        <v>3.5083826146999999</v>
      </c>
    </row>
    <row r="1565" spans="1:12" hidden="1">
      <c r="A1565" s="37" t="s">
        <v>2386</v>
      </c>
      <c r="B1565" s="37"/>
      <c r="C1565" s="37" t="s">
        <v>2380</v>
      </c>
      <c r="D1565" s="64">
        <v>22008</v>
      </c>
      <c r="E1565" s="38">
        <v>2.64</v>
      </c>
      <c r="F1565" s="39">
        <v>3.1878126999999998</v>
      </c>
      <c r="G1565" s="38">
        <v>2.8396285E-2</v>
      </c>
      <c r="H1565" s="38">
        <v>0.12813616</v>
      </c>
      <c r="I1565" s="38">
        <v>0.28782959000000002</v>
      </c>
      <c r="J1565" s="38">
        <v>7.7059406999999996E-2</v>
      </c>
      <c r="K1565" s="38">
        <v>0.10718096000000001</v>
      </c>
      <c r="L1565" s="40">
        <v>3.8164151019999997</v>
      </c>
    </row>
    <row r="1566" spans="1:12" hidden="1">
      <c r="A1566" s="37" t="s">
        <v>2387</v>
      </c>
      <c r="B1566" s="37"/>
      <c r="C1566" s="37" t="s">
        <v>2380</v>
      </c>
      <c r="D1566" s="64">
        <v>22004</v>
      </c>
      <c r="E1566" s="38">
        <v>2.64</v>
      </c>
      <c r="F1566" s="39">
        <v>2.4764072000000001</v>
      </c>
      <c r="G1566" s="38">
        <v>1.2951003000000001</v>
      </c>
      <c r="H1566" s="38">
        <v>9.9850469999999997E-2</v>
      </c>
      <c r="I1566" s="38">
        <v>0.13813893999999999</v>
      </c>
      <c r="J1566" s="38">
        <v>6.7263829000000002E-3</v>
      </c>
      <c r="K1566" s="38">
        <v>0</v>
      </c>
      <c r="L1566" s="40">
        <v>4.0162232929000004</v>
      </c>
    </row>
    <row r="1567" spans="1:12" hidden="1">
      <c r="A1567" s="37" t="s">
        <v>2388</v>
      </c>
      <c r="B1567" s="37"/>
      <c r="C1567" s="37" t="s">
        <v>2380</v>
      </c>
      <c r="D1567" s="64">
        <v>22502</v>
      </c>
      <c r="E1567" s="38">
        <v>2.4900000000000002</v>
      </c>
      <c r="F1567" s="39">
        <v>3.8832268999999999</v>
      </c>
      <c r="G1567" s="38">
        <v>3.2718433999999998E-2</v>
      </c>
      <c r="H1567" s="38">
        <v>0.12813616</v>
      </c>
      <c r="I1567" s="38">
        <v>0.29105342000000001</v>
      </c>
      <c r="J1567" s="38">
        <v>7.7059406999999996E-2</v>
      </c>
      <c r="K1567" s="38">
        <v>0.10718096000000001</v>
      </c>
      <c r="L1567" s="40">
        <v>4.5193752810000003</v>
      </c>
    </row>
    <row r="1568" spans="1:12" hidden="1">
      <c r="A1568" s="37" t="s">
        <v>736</v>
      </c>
      <c r="B1568" s="37"/>
      <c r="C1568" s="37" t="s">
        <v>2380</v>
      </c>
      <c r="D1568" s="64">
        <v>22000</v>
      </c>
      <c r="E1568" s="38">
        <v>2.4300000000000002</v>
      </c>
      <c r="F1568" s="39">
        <v>2.7858187999999999</v>
      </c>
      <c r="G1568" s="38">
        <v>0</v>
      </c>
      <c r="H1568" s="38">
        <v>0.12481309</v>
      </c>
      <c r="I1568" s="38">
        <v>0.16886546</v>
      </c>
      <c r="J1568" s="38">
        <v>8.4079787000000007E-3</v>
      </c>
      <c r="K1568" s="38">
        <v>8.0351048999999994E-2</v>
      </c>
      <c r="L1568" s="40">
        <v>3.1682563777000001</v>
      </c>
    </row>
    <row r="1569" spans="1:12" hidden="1">
      <c r="A1569" s="37" t="s">
        <v>2389</v>
      </c>
      <c r="B1569" s="37"/>
      <c r="C1569" s="37" t="s">
        <v>2380</v>
      </c>
      <c r="D1569" s="64">
        <v>22010</v>
      </c>
      <c r="E1569" s="38">
        <v>2.42</v>
      </c>
      <c r="F1569" s="39">
        <v>2.8599926999999998</v>
      </c>
      <c r="G1569" s="38">
        <v>0</v>
      </c>
      <c r="H1569" s="38">
        <v>0</v>
      </c>
      <c r="I1569" s="38">
        <v>0.26039509</v>
      </c>
      <c r="J1569" s="38">
        <v>7.7059406999999996E-2</v>
      </c>
      <c r="K1569" s="38">
        <v>0.44823774999999999</v>
      </c>
      <c r="L1569" s="40">
        <v>3.6456849469999999</v>
      </c>
    </row>
    <row r="1570" spans="1:12" hidden="1">
      <c r="A1570" s="37" t="s">
        <v>2390</v>
      </c>
      <c r="B1570" s="37"/>
      <c r="C1570" s="37" t="s">
        <v>2380</v>
      </c>
      <c r="D1570" s="64">
        <v>22013</v>
      </c>
      <c r="E1570" s="38">
        <v>2.65</v>
      </c>
      <c r="F1570" s="39">
        <v>3.0953542000000001</v>
      </c>
      <c r="G1570" s="38">
        <v>1.6188741</v>
      </c>
      <c r="H1570" s="38">
        <v>0.12481309</v>
      </c>
      <c r="I1570" s="38">
        <v>0.17267177</v>
      </c>
      <c r="J1570" s="38">
        <v>8.4079787000000007E-3</v>
      </c>
      <c r="K1570" s="38">
        <v>8.0351048999999994E-2</v>
      </c>
      <c r="L1570" s="40">
        <v>5.1004721877000003</v>
      </c>
    </row>
    <row r="1571" spans="1:12" hidden="1">
      <c r="A1571" s="37" t="s">
        <v>2391</v>
      </c>
      <c r="B1571" s="37"/>
      <c r="C1571" s="37" t="s">
        <v>2380</v>
      </c>
      <c r="D1571" s="64">
        <v>22002</v>
      </c>
      <c r="E1571" s="38">
        <v>2.62</v>
      </c>
      <c r="F1571" s="39">
        <v>3.0950446999999999</v>
      </c>
      <c r="G1571" s="38">
        <v>2.6623833999999999E-2</v>
      </c>
      <c r="H1571" s="38">
        <v>0.12481309</v>
      </c>
      <c r="I1571" s="38">
        <v>0.17266796000000001</v>
      </c>
      <c r="J1571" s="38">
        <v>8.4079787000000007E-3</v>
      </c>
      <c r="K1571" s="38">
        <v>8.0351048999999994E-2</v>
      </c>
      <c r="L1571" s="40">
        <v>3.5079086117</v>
      </c>
    </row>
    <row r="1572" spans="1:12" hidden="1">
      <c r="A1572" s="37" t="s">
        <v>2392</v>
      </c>
      <c r="B1572" s="37"/>
      <c r="C1572" s="37" t="s">
        <v>2380</v>
      </c>
      <c r="D1572" s="64">
        <v>22009</v>
      </c>
      <c r="E1572" s="38">
        <v>2.63</v>
      </c>
      <c r="F1572" s="39">
        <v>3.1873361</v>
      </c>
      <c r="G1572" s="38">
        <v>2.8392185E-2</v>
      </c>
      <c r="H1572" s="38">
        <v>0.12813616</v>
      </c>
      <c r="I1572" s="38">
        <v>0.28782373</v>
      </c>
      <c r="J1572" s="38">
        <v>7.7059406999999996E-2</v>
      </c>
      <c r="K1572" s="38">
        <v>0.10718096000000001</v>
      </c>
      <c r="L1572" s="40">
        <v>3.815928542</v>
      </c>
    </row>
    <row r="1573" spans="1:12" hidden="1">
      <c r="A1573" s="37" t="s">
        <v>2393</v>
      </c>
      <c r="B1573" s="37"/>
      <c r="C1573" s="37" t="s">
        <v>2380</v>
      </c>
      <c r="D1573" s="64">
        <v>22003</v>
      </c>
      <c r="E1573" s="38">
        <v>2.62</v>
      </c>
      <c r="F1573" s="39">
        <v>2.4760358</v>
      </c>
      <c r="G1573" s="38">
        <v>1.2950971</v>
      </c>
      <c r="H1573" s="38">
        <v>9.9850469999999997E-2</v>
      </c>
      <c r="I1573" s="38">
        <v>0.13813437000000001</v>
      </c>
      <c r="J1573" s="38">
        <v>6.7263829000000002E-3</v>
      </c>
      <c r="K1573" s="38">
        <v>0</v>
      </c>
      <c r="L1573" s="40">
        <v>4.0158441228999999</v>
      </c>
    </row>
    <row r="1574" spans="1:12" hidden="1">
      <c r="A1574" s="37" t="s">
        <v>2394</v>
      </c>
      <c r="B1574" s="37"/>
      <c r="C1574" s="37" t="s">
        <v>2380</v>
      </c>
      <c r="D1574" s="64">
        <v>22011</v>
      </c>
      <c r="E1574" s="38">
        <v>2.44</v>
      </c>
      <c r="F1574" s="39">
        <v>2.8599926999999998</v>
      </c>
      <c r="G1574" s="38">
        <v>0</v>
      </c>
      <c r="H1574" s="38">
        <v>0.12813630000000001</v>
      </c>
      <c r="I1574" s="38">
        <v>0.28329865999999998</v>
      </c>
      <c r="J1574" s="38">
        <v>7.7059406999999996E-2</v>
      </c>
      <c r="K1574" s="38">
        <v>0.44823774999999999</v>
      </c>
      <c r="L1574" s="40">
        <v>3.7967248169999999</v>
      </c>
    </row>
    <row r="1575" spans="1:12" hidden="1">
      <c r="A1575" s="37" t="s">
        <v>2395</v>
      </c>
      <c r="B1575" s="37"/>
      <c r="C1575" s="37" t="s">
        <v>788</v>
      </c>
      <c r="D1575" s="64">
        <v>36500</v>
      </c>
      <c r="E1575" s="38">
        <v>3.11</v>
      </c>
      <c r="F1575" s="39">
        <v>5.1759893000000003</v>
      </c>
      <c r="G1575" s="38">
        <v>1.028726</v>
      </c>
      <c r="H1575" s="38">
        <v>0.34413596000000002</v>
      </c>
      <c r="I1575" s="38">
        <v>0.29060693999999998</v>
      </c>
      <c r="J1575" s="38">
        <v>4.6692341999999998E-2</v>
      </c>
      <c r="K1575" s="38">
        <v>8.8693171000000001E-2</v>
      </c>
      <c r="L1575" s="40">
        <v>6.9748437130000003</v>
      </c>
    </row>
    <row r="1576" spans="1:12" hidden="1">
      <c r="A1576" s="37" t="s">
        <v>2396</v>
      </c>
      <c r="B1576" s="37"/>
      <c r="C1576" s="37" t="s">
        <v>788</v>
      </c>
      <c r="D1576" s="64">
        <v>36501</v>
      </c>
      <c r="E1576" s="38">
        <v>3.11</v>
      </c>
      <c r="F1576" s="39">
        <v>5.1759893000000003</v>
      </c>
      <c r="G1576" s="38">
        <v>1.028726</v>
      </c>
      <c r="H1576" s="38">
        <v>0.34413596000000002</v>
      </c>
      <c r="I1576" s="38">
        <v>0.29060693999999998</v>
      </c>
      <c r="J1576" s="38">
        <v>4.6692341999999998E-2</v>
      </c>
      <c r="K1576" s="38">
        <v>8.8693171000000001E-2</v>
      </c>
      <c r="L1576" s="40">
        <v>6.9748437130000003</v>
      </c>
    </row>
    <row r="1577" spans="1:12" hidden="1">
      <c r="A1577" s="37" t="s">
        <v>2397</v>
      </c>
      <c r="B1577" s="37"/>
      <c r="C1577" s="37" t="s">
        <v>786</v>
      </c>
      <c r="D1577" s="64">
        <v>36503</v>
      </c>
      <c r="E1577" s="38">
        <v>2.67</v>
      </c>
      <c r="F1577" s="39">
        <v>6.8523363000000002</v>
      </c>
      <c r="G1577" s="38">
        <v>1.3618992999999999</v>
      </c>
      <c r="H1577" s="38">
        <v>0.45559123000000001</v>
      </c>
      <c r="I1577" s="38">
        <v>0.38472577000000002</v>
      </c>
      <c r="J1577" s="38">
        <v>6.1814583999999999E-2</v>
      </c>
      <c r="K1577" s="38">
        <v>0.20330878999999999</v>
      </c>
      <c r="L1577" s="40">
        <v>9.319675973999999</v>
      </c>
    </row>
    <row r="1578" spans="1:12" hidden="1">
      <c r="A1578" s="37" t="s">
        <v>2398</v>
      </c>
      <c r="B1578" s="37"/>
      <c r="C1578" s="37" t="s">
        <v>786</v>
      </c>
      <c r="D1578" s="64">
        <v>36502</v>
      </c>
      <c r="E1578" s="38">
        <v>2.67</v>
      </c>
      <c r="F1578" s="39">
        <v>6.8523363000000002</v>
      </c>
      <c r="G1578" s="38">
        <v>1.3618992999999999</v>
      </c>
      <c r="H1578" s="38">
        <v>0.45559123000000001</v>
      </c>
      <c r="I1578" s="38">
        <v>0.38472577000000002</v>
      </c>
      <c r="J1578" s="38">
        <v>6.1814583999999999E-2</v>
      </c>
      <c r="K1578" s="38">
        <v>0.20330878999999999</v>
      </c>
      <c r="L1578" s="40">
        <v>9.319675973999999</v>
      </c>
    </row>
    <row r="1579" spans="1:12" hidden="1">
      <c r="A1579" s="37" t="s">
        <v>2399</v>
      </c>
      <c r="B1579" s="37"/>
      <c r="C1579" s="37" t="s">
        <v>842</v>
      </c>
      <c r="D1579" s="64">
        <v>20034</v>
      </c>
      <c r="E1579" s="38">
        <v>2.21</v>
      </c>
      <c r="F1579" s="39">
        <v>0.10002787</v>
      </c>
      <c r="G1579" s="38">
        <v>0</v>
      </c>
      <c r="H1579" s="38">
        <v>0</v>
      </c>
      <c r="I1579" s="38">
        <v>0.24635494999999999</v>
      </c>
      <c r="J1579" s="38">
        <v>1.1012889E-2</v>
      </c>
      <c r="K1579" s="38">
        <v>3.2140419000000003E-2</v>
      </c>
      <c r="L1579" s="40">
        <v>0.38953612800000004</v>
      </c>
    </row>
    <row r="1580" spans="1:12" hidden="1">
      <c r="A1580" s="37" t="s">
        <v>2400</v>
      </c>
      <c r="B1580" s="37"/>
      <c r="C1580" s="37" t="s">
        <v>842</v>
      </c>
      <c r="D1580" s="64">
        <v>20035</v>
      </c>
      <c r="E1580" s="38">
        <v>2.81</v>
      </c>
      <c r="F1580" s="39">
        <v>0.11803288000000001</v>
      </c>
      <c r="G1580" s="38">
        <v>0</v>
      </c>
      <c r="H1580" s="38">
        <v>0.26041069999999999</v>
      </c>
      <c r="I1580" s="38">
        <v>0.30316247000000002</v>
      </c>
      <c r="J1580" s="38">
        <v>1.2995209000000001E-2</v>
      </c>
      <c r="K1580" s="38">
        <v>0.13820644000000001</v>
      </c>
      <c r="L1580" s="40">
        <v>0.83280769900000007</v>
      </c>
    </row>
    <row r="1581" spans="1:12" hidden="1">
      <c r="A1581" s="37" t="s">
        <v>2401</v>
      </c>
      <c r="B1581" s="37"/>
      <c r="C1581" s="37" t="s">
        <v>842</v>
      </c>
      <c r="D1581" s="64">
        <v>20180</v>
      </c>
      <c r="E1581" s="38">
        <v>2.4300000000000002</v>
      </c>
      <c r="F1581" s="39">
        <v>1.0501058999999999</v>
      </c>
      <c r="G1581" s="38">
        <v>2.0087255000000002</v>
      </c>
      <c r="H1581" s="38">
        <v>0.35147703000000002</v>
      </c>
      <c r="I1581" s="38">
        <v>0.18202238000000001</v>
      </c>
      <c r="J1581" s="38">
        <v>2.5120483999999998E-2</v>
      </c>
      <c r="K1581" s="38">
        <v>8.0351048999999994E-2</v>
      </c>
      <c r="L1581" s="40">
        <v>3.6978023429999993</v>
      </c>
    </row>
    <row r="1582" spans="1:12" hidden="1">
      <c r="A1582" s="37" t="s">
        <v>2402</v>
      </c>
      <c r="B1582" s="37"/>
      <c r="C1582" s="37" t="s">
        <v>842</v>
      </c>
      <c r="D1582" s="64">
        <v>20235</v>
      </c>
      <c r="E1582" s="38">
        <v>2.75</v>
      </c>
      <c r="F1582" s="39">
        <v>0.13478079000000001</v>
      </c>
      <c r="G1582" s="38">
        <v>9.1766547000000004E-2</v>
      </c>
      <c r="H1582" s="38">
        <v>0.26232822</v>
      </c>
      <c r="I1582" s="38">
        <v>0.33588496000000001</v>
      </c>
      <c r="J1582" s="38">
        <v>6.8654974999999993E-2</v>
      </c>
      <c r="K1582" s="38">
        <v>2.5251829999999999E-2</v>
      </c>
      <c r="L1582" s="40">
        <v>0.91866732200000001</v>
      </c>
    </row>
    <row r="1583" spans="1:12" hidden="1">
      <c r="A1583" s="37" t="s">
        <v>2403</v>
      </c>
      <c r="B1583" s="37"/>
      <c r="C1583" s="37" t="s">
        <v>2307</v>
      </c>
      <c r="D1583" s="64">
        <v>13147</v>
      </c>
      <c r="E1583" s="38">
        <v>2.46</v>
      </c>
      <c r="F1583" s="39">
        <v>4.2829693000000002E-2</v>
      </c>
      <c r="G1583" s="38">
        <v>1.8420247999999999E-4</v>
      </c>
      <c r="H1583" s="38">
        <v>0.49792849</v>
      </c>
      <c r="I1583" s="38">
        <v>0.30651099999999998</v>
      </c>
      <c r="J1583" s="38">
        <v>3.7768032999999999E-2</v>
      </c>
      <c r="K1583" s="38">
        <v>6.6736979E-3</v>
      </c>
      <c r="L1583" s="40">
        <v>0.89189511637999996</v>
      </c>
    </row>
    <row r="1584" spans="1:12" hidden="1">
      <c r="A1584" s="37" t="s">
        <v>2404</v>
      </c>
      <c r="B1584" s="37"/>
      <c r="C1584" s="37" t="s">
        <v>826</v>
      </c>
      <c r="D1584" s="64">
        <v>26171</v>
      </c>
      <c r="E1584" s="38">
        <v>3.64</v>
      </c>
      <c r="F1584" s="39">
        <v>3.9107862</v>
      </c>
      <c r="G1584" s="38">
        <v>0</v>
      </c>
      <c r="H1584" s="38">
        <v>0.27530876999999998</v>
      </c>
      <c r="I1584" s="38">
        <v>0.90277483999999997</v>
      </c>
      <c r="J1584" s="38">
        <v>3.7353873000000003E-2</v>
      </c>
      <c r="K1584" s="38">
        <v>6.6736979E-3</v>
      </c>
      <c r="L1584" s="40">
        <v>5.1328973809000003</v>
      </c>
    </row>
    <row r="1585" spans="1:12" hidden="1">
      <c r="A1585" s="37" t="s">
        <v>2405</v>
      </c>
      <c r="B1585" s="37"/>
      <c r="C1585" s="37" t="s">
        <v>2380</v>
      </c>
      <c r="D1585" s="64">
        <v>22506</v>
      </c>
      <c r="E1585" s="38">
        <v>2.29</v>
      </c>
      <c r="F1585" s="39">
        <v>3.2114598999999999</v>
      </c>
      <c r="G1585" s="38">
        <v>0.24500633999999999</v>
      </c>
      <c r="H1585" s="38">
        <v>0.27079121</v>
      </c>
      <c r="I1585" s="38">
        <v>0.22203017999999999</v>
      </c>
      <c r="J1585" s="38">
        <v>3.7768032999999999E-2</v>
      </c>
      <c r="K1585" s="38">
        <v>1.7696322E-2</v>
      </c>
      <c r="L1585" s="40">
        <v>4.0047519850000004</v>
      </c>
    </row>
    <row r="1586" spans="1:12" hidden="1">
      <c r="A1586" s="37" t="s">
        <v>2406</v>
      </c>
      <c r="B1586" s="37"/>
      <c r="C1586" s="37" t="s">
        <v>2380</v>
      </c>
      <c r="D1586" s="64">
        <v>22508</v>
      </c>
      <c r="E1586" s="38">
        <v>2.2999999999999998</v>
      </c>
      <c r="F1586" s="39">
        <v>3.8726946999999998</v>
      </c>
      <c r="G1586" s="38">
        <v>0.17019050999999999</v>
      </c>
      <c r="H1586" s="38">
        <v>0.27079121</v>
      </c>
      <c r="I1586" s="38">
        <v>0.22661624999999999</v>
      </c>
      <c r="J1586" s="38">
        <v>3.7768032999999999E-2</v>
      </c>
      <c r="K1586" s="38">
        <v>1.7696322E-2</v>
      </c>
      <c r="L1586" s="40">
        <v>4.5957570249999993</v>
      </c>
    </row>
    <row r="1587" spans="1:12" hidden="1">
      <c r="A1587" s="37" t="s">
        <v>2407</v>
      </c>
      <c r="B1587" s="37"/>
      <c r="C1587" s="37" t="s">
        <v>2380</v>
      </c>
      <c r="D1587" s="64">
        <v>22509</v>
      </c>
      <c r="E1587" s="38">
        <v>2.29</v>
      </c>
      <c r="F1587" s="39">
        <v>2.6579644</v>
      </c>
      <c r="G1587" s="38">
        <v>0.16802362000000001</v>
      </c>
      <c r="H1587" s="38">
        <v>0.27079121</v>
      </c>
      <c r="I1587" s="38">
        <v>0.22295043</v>
      </c>
      <c r="J1587" s="38">
        <v>3.7768032999999999E-2</v>
      </c>
      <c r="K1587" s="38">
        <v>1.7696322E-2</v>
      </c>
      <c r="L1587" s="40">
        <v>3.3751940149999999</v>
      </c>
    </row>
    <row r="1588" spans="1:12" hidden="1">
      <c r="A1588" s="37" t="s">
        <v>2408</v>
      </c>
      <c r="B1588" s="37"/>
      <c r="C1588" s="37" t="s">
        <v>2380</v>
      </c>
      <c r="D1588" s="64">
        <v>22507</v>
      </c>
      <c r="E1588" s="38">
        <v>2.2999999999999998</v>
      </c>
      <c r="F1588" s="39">
        <v>3.8014287000000002</v>
      </c>
      <c r="G1588" s="38">
        <v>0.25679803000000001</v>
      </c>
      <c r="H1588" s="38">
        <v>0.27079121</v>
      </c>
      <c r="I1588" s="38">
        <v>0.21935183999999999</v>
      </c>
      <c r="J1588" s="38">
        <v>3.7768032999999999E-2</v>
      </c>
      <c r="K1588" s="38">
        <v>1.7696322E-2</v>
      </c>
      <c r="L1588" s="40">
        <v>4.6038341349999996</v>
      </c>
    </row>
    <row r="1589" spans="1:12" hidden="1">
      <c r="A1589" s="37" t="s">
        <v>2409</v>
      </c>
      <c r="B1589" s="37"/>
      <c r="C1589" s="37" t="s">
        <v>1151</v>
      </c>
      <c r="D1589" s="64">
        <v>39518</v>
      </c>
      <c r="E1589" s="38">
        <v>3.45</v>
      </c>
      <c r="F1589" s="39">
        <v>1.0539407999999999</v>
      </c>
      <c r="G1589" s="38">
        <v>0.21512698</v>
      </c>
      <c r="H1589" s="38">
        <v>0.18042667000000001</v>
      </c>
      <c r="I1589" s="38">
        <v>0.19674195</v>
      </c>
      <c r="J1589" s="38">
        <v>6.5229756E-2</v>
      </c>
      <c r="K1589" s="38">
        <v>2.5251829999999999E-2</v>
      </c>
      <c r="L1589" s="40">
        <v>1.7367179859999999</v>
      </c>
    </row>
    <row r="1590" spans="1:12" hidden="1">
      <c r="A1590" s="37" t="s">
        <v>2410</v>
      </c>
      <c r="B1590" s="37"/>
      <c r="C1590" s="37" t="s">
        <v>634</v>
      </c>
      <c r="D1590" s="64">
        <v>13034</v>
      </c>
      <c r="E1590" s="38">
        <v>2.68</v>
      </c>
      <c r="F1590" s="39">
        <v>0.19625882</v>
      </c>
      <c r="G1590" s="38">
        <v>0</v>
      </c>
      <c r="H1590" s="38">
        <v>0</v>
      </c>
      <c r="I1590" s="38">
        <v>0.34469499999999997</v>
      </c>
      <c r="J1590" s="38">
        <v>1.2659449999999999E-2</v>
      </c>
      <c r="K1590" s="38">
        <v>8.0351048999999994E-2</v>
      </c>
      <c r="L1590" s="40">
        <v>0.63396431899999994</v>
      </c>
    </row>
    <row r="1591" spans="1:12" hidden="1">
      <c r="A1591" s="37" t="s">
        <v>2411</v>
      </c>
      <c r="B1591" s="37"/>
      <c r="C1591" s="37" t="s">
        <v>631</v>
      </c>
      <c r="D1591" s="64">
        <v>28530</v>
      </c>
      <c r="E1591" s="38">
        <v>2.4900000000000002</v>
      </c>
      <c r="F1591" s="39">
        <v>1.8156093</v>
      </c>
      <c r="G1591" s="38">
        <v>0.13079721999999999</v>
      </c>
      <c r="H1591" s="38">
        <v>0.21414664</v>
      </c>
      <c r="I1591" s="38">
        <v>0.24361157999999999</v>
      </c>
      <c r="J1591" s="38">
        <v>4.7187537000000002E-2</v>
      </c>
      <c r="K1591" s="38">
        <v>9.4321172999999994E-2</v>
      </c>
      <c r="L1591" s="40">
        <v>2.5456734500000002</v>
      </c>
    </row>
    <row r="1592" spans="1:12" hidden="1">
      <c r="A1592" s="37" t="s">
        <v>2412</v>
      </c>
      <c r="B1592" s="37"/>
      <c r="C1592" s="37" t="s">
        <v>816</v>
      </c>
      <c r="D1592" s="64">
        <v>9320</v>
      </c>
      <c r="E1592" s="38">
        <v>2.5499999999999998</v>
      </c>
      <c r="F1592" s="39">
        <v>0.38828278999999999</v>
      </c>
      <c r="G1592" s="38">
        <v>0</v>
      </c>
      <c r="H1592" s="38">
        <v>0.26506589000000003</v>
      </c>
      <c r="I1592" s="38">
        <v>0.11728618</v>
      </c>
      <c r="J1592" s="38">
        <v>1.606076E-2</v>
      </c>
      <c r="K1592" s="38">
        <v>0</v>
      </c>
      <c r="L1592" s="40">
        <v>0.78669562000000004</v>
      </c>
    </row>
    <row r="1593" spans="1:12" hidden="1">
      <c r="A1593" s="37" t="s">
        <v>2413</v>
      </c>
      <c r="B1593" s="37"/>
      <c r="C1593" s="37" t="s">
        <v>816</v>
      </c>
      <c r="D1593" s="64">
        <v>9322</v>
      </c>
      <c r="E1593" s="38">
        <v>2.85</v>
      </c>
      <c r="F1593" s="39">
        <v>0.38828278999999999</v>
      </c>
      <c r="G1593" s="38">
        <v>0</v>
      </c>
      <c r="H1593" s="38">
        <v>0.18199083999999999</v>
      </c>
      <c r="I1593" s="38">
        <v>0.11728618</v>
      </c>
      <c r="J1593" s="38">
        <v>1.606076E-2</v>
      </c>
      <c r="K1593" s="38">
        <v>0</v>
      </c>
      <c r="L1593" s="40">
        <v>0.70362057</v>
      </c>
    </row>
    <row r="1594" spans="1:12" hidden="1">
      <c r="A1594" s="37" t="s">
        <v>2414</v>
      </c>
      <c r="B1594" s="37"/>
      <c r="C1594" s="37" t="s">
        <v>816</v>
      </c>
      <c r="D1594" s="64">
        <v>9321</v>
      </c>
      <c r="E1594" s="38">
        <v>2.86</v>
      </c>
      <c r="F1594" s="39">
        <v>0.38828278999999999</v>
      </c>
      <c r="G1594" s="38">
        <v>0</v>
      </c>
      <c r="H1594" s="38">
        <v>0.26506589000000003</v>
      </c>
      <c r="I1594" s="38">
        <v>0.11728618</v>
      </c>
      <c r="J1594" s="38">
        <v>1.606076E-2</v>
      </c>
      <c r="K1594" s="38">
        <v>0</v>
      </c>
      <c r="L1594" s="40">
        <v>0.78669562000000004</v>
      </c>
    </row>
    <row r="1595" spans="1:12" hidden="1">
      <c r="A1595" s="37" t="s">
        <v>2415</v>
      </c>
      <c r="B1595" s="37"/>
      <c r="C1595" s="37" t="s">
        <v>807</v>
      </c>
      <c r="D1595" s="64">
        <v>11035</v>
      </c>
      <c r="E1595" s="38">
        <v>3.75</v>
      </c>
      <c r="F1595" s="39">
        <v>0.88036652999999998</v>
      </c>
      <c r="G1595" s="38">
        <v>0</v>
      </c>
      <c r="H1595" s="38">
        <v>0.47782284000000003</v>
      </c>
      <c r="I1595" s="38">
        <v>0.17533238000000001</v>
      </c>
      <c r="J1595" s="38">
        <v>1.5675970000000001E-2</v>
      </c>
      <c r="K1595" s="38">
        <v>0</v>
      </c>
      <c r="L1595" s="40">
        <v>1.54919772</v>
      </c>
    </row>
    <row r="1596" spans="1:12" hidden="1">
      <c r="A1596" s="37" t="s">
        <v>2416</v>
      </c>
      <c r="B1596" s="37"/>
      <c r="C1596" s="37" t="s">
        <v>826</v>
      </c>
      <c r="D1596" s="64">
        <v>26166</v>
      </c>
      <c r="E1596" s="38">
        <v>3.68</v>
      </c>
      <c r="F1596" s="39">
        <v>0.70785436999999995</v>
      </c>
      <c r="G1596" s="38">
        <v>0</v>
      </c>
      <c r="H1596" s="38">
        <v>0.27530876999999998</v>
      </c>
      <c r="I1596" s="38">
        <v>0.90277483999999997</v>
      </c>
      <c r="J1596" s="38">
        <v>3.7353873000000003E-2</v>
      </c>
      <c r="K1596" s="38">
        <v>6.6736979E-3</v>
      </c>
      <c r="L1596" s="40">
        <v>1.9299655509</v>
      </c>
    </row>
    <row r="1597" spans="1:12" hidden="1">
      <c r="A1597" s="41" t="s">
        <v>2417</v>
      </c>
      <c r="B1597" s="41"/>
      <c r="C1597" s="41" t="s">
        <v>842</v>
      </c>
      <c r="D1597" s="65">
        <v>20111</v>
      </c>
      <c r="E1597" s="42">
        <v>2.6</v>
      </c>
      <c r="F1597" s="43">
        <v>0.22517429</v>
      </c>
      <c r="G1597" s="42">
        <v>0</v>
      </c>
      <c r="H1597" s="42">
        <v>0</v>
      </c>
      <c r="I1597" s="42">
        <v>0.27356253000000003</v>
      </c>
      <c r="J1597" s="42">
        <v>4.6360746000000001E-2</v>
      </c>
      <c r="K1597" s="42">
        <v>8.0351048999999994E-2</v>
      </c>
      <c r="L1597" s="44">
        <v>0.62544861500000004</v>
      </c>
    </row>
    <row r="1598" spans="1:12" hidden="1">
      <c r="A1598" s="37" t="s">
        <v>2418</v>
      </c>
      <c r="B1598" s="37"/>
      <c r="C1598" s="37" t="s">
        <v>640</v>
      </c>
      <c r="D1598" s="64">
        <v>12119</v>
      </c>
      <c r="E1598" s="38">
        <v>2.4500000000000002</v>
      </c>
      <c r="F1598" s="39">
        <v>4.4232345999999998</v>
      </c>
      <c r="G1598" s="38">
        <v>0.31393438000000001</v>
      </c>
      <c r="H1598" s="38">
        <v>0.26233268999999998</v>
      </c>
      <c r="I1598" s="38">
        <v>0.21100323000000001</v>
      </c>
      <c r="J1598" s="38">
        <v>3.5969872999999999E-2</v>
      </c>
      <c r="K1598" s="38">
        <v>6.6736979E-3</v>
      </c>
      <c r="L1598" s="40">
        <v>5.2531484709000003</v>
      </c>
    </row>
    <row r="1599" spans="1:12" hidden="1">
      <c r="A1599" s="37" t="s">
        <v>2419</v>
      </c>
      <c r="B1599" s="37"/>
      <c r="C1599" s="37" t="s">
        <v>811</v>
      </c>
      <c r="D1599" s="64">
        <v>25164</v>
      </c>
      <c r="E1599" s="38">
        <v>2.56</v>
      </c>
      <c r="F1599" s="39">
        <v>13.383932</v>
      </c>
      <c r="G1599" s="38">
        <v>0.30185546000000002</v>
      </c>
      <c r="H1599" s="38">
        <v>0.18550412999999999</v>
      </c>
      <c r="I1599" s="38">
        <v>0.22710195</v>
      </c>
      <c r="J1599" s="38">
        <v>3.7768032999999999E-2</v>
      </c>
      <c r="K1599" s="38">
        <v>1.7696322E-2</v>
      </c>
      <c r="L1599" s="40">
        <v>14.153857895000002</v>
      </c>
    </row>
    <row r="1600" spans="1:12" hidden="1">
      <c r="A1600" s="37" t="s">
        <v>2420</v>
      </c>
      <c r="B1600" s="37"/>
      <c r="C1600" s="37" t="s">
        <v>811</v>
      </c>
      <c r="D1600" s="64">
        <v>25031</v>
      </c>
      <c r="E1600" s="38">
        <v>2.83</v>
      </c>
      <c r="F1600" s="39">
        <v>2.1303380999999999</v>
      </c>
      <c r="G1600" s="38">
        <v>0.32606538000000002</v>
      </c>
      <c r="H1600" s="38">
        <v>0.18597795</v>
      </c>
      <c r="I1600" s="38">
        <v>0.34960722999999999</v>
      </c>
      <c r="J1600" s="38">
        <v>3.7768032999999999E-2</v>
      </c>
      <c r="K1600" s="38">
        <v>1.7696322E-2</v>
      </c>
      <c r="L1600" s="40">
        <v>3.0474530149999999</v>
      </c>
    </row>
    <row r="1601" spans="1:12" hidden="1">
      <c r="A1601" s="37" t="s">
        <v>2421</v>
      </c>
      <c r="B1601" s="37"/>
      <c r="C1601" s="37" t="s">
        <v>861</v>
      </c>
      <c r="D1601" s="64">
        <v>7730</v>
      </c>
      <c r="E1601" s="38">
        <v>2.19</v>
      </c>
      <c r="F1601" s="39">
        <v>4.4157734</v>
      </c>
      <c r="G1601" s="38">
        <v>0.25971158999999999</v>
      </c>
      <c r="H1601" s="38">
        <v>0.28784632999999998</v>
      </c>
      <c r="I1601" s="38">
        <v>0.17206993000000001</v>
      </c>
      <c r="J1601" s="38">
        <v>4.7861880000000002E-3</v>
      </c>
      <c r="K1601" s="38">
        <v>0</v>
      </c>
      <c r="L1601" s="40">
        <v>5.1401874379999999</v>
      </c>
    </row>
    <row r="1602" spans="1:12" hidden="1">
      <c r="A1602" s="37" t="s">
        <v>2422</v>
      </c>
      <c r="B1602" s="37"/>
      <c r="C1602" s="37" t="s">
        <v>861</v>
      </c>
      <c r="D1602" s="64">
        <v>7733</v>
      </c>
      <c r="E1602" s="38">
        <v>2.19</v>
      </c>
      <c r="F1602" s="39">
        <v>4.4157734</v>
      </c>
      <c r="G1602" s="38">
        <v>0.25971158999999999</v>
      </c>
      <c r="H1602" s="38">
        <v>0.28784632999999998</v>
      </c>
      <c r="I1602" s="38">
        <v>0.17206993000000001</v>
      </c>
      <c r="J1602" s="38">
        <v>4.7861880000000002E-3</v>
      </c>
      <c r="K1602" s="38">
        <v>0</v>
      </c>
      <c r="L1602" s="40">
        <v>5.1401874379999999</v>
      </c>
    </row>
    <row r="1603" spans="1:12" hidden="1">
      <c r="A1603" s="37" t="s">
        <v>2423</v>
      </c>
      <c r="B1603" s="37"/>
      <c r="C1603" s="37" t="s">
        <v>861</v>
      </c>
      <c r="D1603" s="64">
        <v>7712</v>
      </c>
      <c r="E1603" s="38">
        <v>2.19</v>
      </c>
      <c r="F1603" s="39">
        <v>2.7634097</v>
      </c>
      <c r="G1603" s="38">
        <v>0.23445097000000001</v>
      </c>
      <c r="H1603" s="38">
        <v>0.28787692999999998</v>
      </c>
      <c r="I1603" s="38">
        <v>0.14982723000000001</v>
      </c>
      <c r="J1603" s="38">
        <v>4.7861880000000002E-3</v>
      </c>
      <c r="K1603" s="38">
        <v>0</v>
      </c>
      <c r="L1603" s="40">
        <v>3.4403510180000003</v>
      </c>
    </row>
    <row r="1604" spans="1:12" hidden="1">
      <c r="A1604" s="37" t="s">
        <v>2424</v>
      </c>
      <c r="B1604" s="37"/>
      <c r="C1604" s="37" t="s">
        <v>861</v>
      </c>
      <c r="D1604" s="64">
        <v>7710</v>
      </c>
      <c r="E1604" s="38">
        <v>2.13</v>
      </c>
      <c r="F1604" s="39">
        <v>1.9157914</v>
      </c>
      <c r="G1604" s="38">
        <v>0.19421727999999999</v>
      </c>
      <c r="H1604" s="38">
        <v>0.28787546000000003</v>
      </c>
      <c r="I1604" s="38">
        <v>0.12648179000000001</v>
      </c>
      <c r="J1604" s="38">
        <v>4.7861880000000002E-3</v>
      </c>
      <c r="K1604" s="38">
        <v>0</v>
      </c>
      <c r="L1604" s="40">
        <v>2.5291521180000003</v>
      </c>
    </row>
    <row r="1605" spans="1:12" hidden="1">
      <c r="A1605" s="37" t="s">
        <v>2425</v>
      </c>
      <c r="B1605" s="37"/>
      <c r="C1605" s="37" t="s">
        <v>861</v>
      </c>
      <c r="D1605" s="64">
        <v>7711</v>
      </c>
      <c r="E1605" s="38">
        <v>2.13</v>
      </c>
      <c r="F1605" s="39">
        <v>1.9157914</v>
      </c>
      <c r="G1605" s="38">
        <v>0.19421727999999999</v>
      </c>
      <c r="H1605" s="38">
        <v>0.28787546000000003</v>
      </c>
      <c r="I1605" s="38">
        <v>0.12648179000000001</v>
      </c>
      <c r="J1605" s="38">
        <v>4.7861880000000002E-3</v>
      </c>
      <c r="K1605" s="38">
        <v>0</v>
      </c>
      <c r="L1605" s="40">
        <v>2.5291521180000003</v>
      </c>
    </row>
    <row r="1606" spans="1:12" hidden="1">
      <c r="A1606" s="37" t="s">
        <v>2426</v>
      </c>
      <c r="B1606" s="37"/>
      <c r="C1606" s="37" t="s">
        <v>861</v>
      </c>
      <c r="D1606" s="64">
        <v>7115</v>
      </c>
      <c r="E1606" s="38">
        <v>1.95</v>
      </c>
      <c r="F1606" s="39">
        <v>0.32862228999999998</v>
      </c>
      <c r="G1606" s="38">
        <v>0.17482532000000001</v>
      </c>
      <c r="H1606" s="38">
        <v>1.3477503E-2</v>
      </c>
      <c r="I1606" s="38">
        <v>0.10712652</v>
      </c>
      <c r="J1606" s="38">
        <v>4.7861880000000002E-3</v>
      </c>
      <c r="K1606" s="38">
        <v>0</v>
      </c>
      <c r="L1606" s="40">
        <v>0.62883782099999996</v>
      </c>
    </row>
    <row r="1607" spans="1:12" hidden="1">
      <c r="A1607" s="41" t="s">
        <v>2427</v>
      </c>
      <c r="B1607" s="41"/>
      <c r="C1607" s="41" t="s">
        <v>861</v>
      </c>
      <c r="D1607" s="65">
        <v>7720</v>
      </c>
      <c r="E1607" s="42">
        <v>2.13</v>
      </c>
      <c r="F1607" s="43">
        <v>2.0148568</v>
      </c>
      <c r="G1607" s="42">
        <v>0.19315803000000001</v>
      </c>
      <c r="H1607" s="42">
        <v>0.28784046000000002</v>
      </c>
      <c r="I1607" s="42">
        <v>0.13034297</v>
      </c>
      <c r="J1607" s="42">
        <v>4.7861880000000002E-3</v>
      </c>
      <c r="K1607" s="42">
        <v>0</v>
      </c>
      <c r="L1607" s="44">
        <v>2.6309844480000004</v>
      </c>
    </row>
    <row r="1608" spans="1:12" hidden="1">
      <c r="A1608" s="37" t="s">
        <v>2428</v>
      </c>
      <c r="B1608" s="37"/>
      <c r="C1608" s="37" t="s">
        <v>861</v>
      </c>
      <c r="D1608" s="64">
        <v>7260</v>
      </c>
      <c r="E1608" s="38">
        <v>1.95</v>
      </c>
      <c r="F1608" s="39">
        <v>0.38312009000000002</v>
      </c>
      <c r="G1608" s="38">
        <v>0.17820109000000001</v>
      </c>
      <c r="H1608" s="38">
        <v>1.3430368999999999E-2</v>
      </c>
      <c r="I1608" s="38">
        <v>0.10712652</v>
      </c>
      <c r="J1608" s="38">
        <v>4.7861880000000002E-3</v>
      </c>
      <c r="K1608" s="38">
        <v>0</v>
      </c>
      <c r="L1608" s="40">
        <v>0.686664257</v>
      </c>
    </row>
    <row r="1609" spans="1:12" hidden="1">
      <c r="A1609" s="37" t="s">
        <v>2429</v>
      </c>
      <c r="B1609" s="37"/>
      <c r="C1609" s="37" t="s">
        <v>861</v>
      </c>
      <c r="D1609" s="64">
        <v>7225</v>
      </c>
      <c r="E1609" s="38">
        <v>2.13</v>
      </c>
      <c r="F1609" s="39">
        <v>1.3726052</v>
      </c>
      <c r="G1609" s="38">
        <v>0.19450627000000001</v>
      </c>
      <c r="H1609" s="38">
        <v>0.28129418</v>
      </c>
      <c r="I1609" s="38">
        <v>0.12224897999999999</v>
      </c>
      <c r="J1609" s="38">
        <v>4.7861880000000002E-3</v>
      </c>
      <c r="K1609" s="38">
        <v>0</v>
      </c>
      <c r="L1609" s="40">
        <v>1.9754408179999998</v>
      </c>
    </row>
    <row r="1610" spans="1:12" hidden="1">
      <c r="A1610" s="37" t="s">
        <v>2430</v>
      </c>
      <c r="B1610" s="37"/>
      <c r="C1610" s="37" t="s">
        <v>861</v>
      </c>
      <c r="D1610" s="64">
        <v>7110</v>
      </c>
      <c r="E1610" s="38">
        <v>1.95</v>
      </c>
      <c r="F1610" s="39">
        <v>0.38491878000000002</v>
      </c>
      <c r="G1610" s="38">
        <v>0.17831667000000001</v>
      </c>
      <c r="H1610" s="38">
        <v>1.3430998E-2</v>
      </c>
      <c r="I1610" s="38">
        <v>0.10712652</v>
      </c>
      <c r="J1610" s="38">
        <v>4.7861880000000002E-3</v>
      </c>
      <c r="K1610" s="38">
        <v>0</v>
      </c>
      <c r="L1610" s="40">
        <v>0.68857915600000008</v>
      </c>
    </row>
    <row r="1611" spans="1:12" hidden="1">
      <c r="A1611" s="37" t="s">
        <v>2431</v>
      </c>
      <c r="B1611" s="37"/>
      <c r="C1611" s="37" t="s">
        <v>861</v>
      </c>
      <c r="D1611" s="64">
        <v>7012</v>
      </c>
      <c r="E1611" s="38">
        <v>1.95</v>
      </c>
      <c r="F1611" s="39">
        <v>0.38312009000000002</v>
      </c>
      <c r="G1611" s="38">
        <v>0.17820109000000001</v>
      </c>
      <c r="H1611" s="38">
        <v>1.3430368999999999E-2</v>
      </c>
      <c r="I1611" s="38">
        <v>0.10712652</v>
      </c>
      <c r="J1611" s="38">
        <v>4.7861880000000002E-3</v>
      </c>
      <c r="K1611" s="38">
        <v>0</v>
      </c>
      <c r="L1611" s="40">
        <v>0.686664257</v>
      </c>
    </row>
    <row r="1612" spans="1:12" hidden="1">
      <c r="A1612" s="37" t="s">
        <v>2432</v>
      </c>
      <c r="B1612" s="37"/>
      <c r="C1612" s="37" t="s">
        <v>861</v>
      </c>
      <c r="D1612" s="64">
        <v>7261</v>
      </c>
      <c r="E1612" s="38">
        <v>1.95</v>
      </c>
      <c r="F1612" s="39">
        <v>0.38491878000000002</v>
      </c>
      <c r="G1612" s="38">
        <v>0.17831667000000001</v>
      </c>
      <c r="H1612" s="38">
        <v>1.3430998E-2</v>
      </c>
      <c r="I1612" s="38">
        <v>0.10712652</v>
      </c>
      <c r="J1612" s="38">
        <v>4.7861880000000002E-3</v>
      </c>
      <c r="K1612" s="38">
        <v>0</v>
      </c>
      <c r="L1612" s="40">
        <v>0.68857915600000008</v>
      </c>
    </row>
    <row r="1613" spans="1:12" hidden="1">
      <c r="A1613" s="37" t="s">
        <v>2433</v>
      </c>
      <c r="B1613" s="37"/>
      <c r="C1613" s="37" t="s">
        <v>861</v>
      </c>
      <c r="D1613" s="64">
        <v>7210</v>
      </c>
      <c r="E1613" s="38">
        <v>2.13</v>
      </c>
      <c r="F1613" s="39">
        <v>1.2632715999999999</v>
      </c>
      <c r="G1613" s="38">
        <v>0.19149352</v>
      </c>
      <c r="H1613" s="38">
        <v>0.28130297999999998</v>
      </c>
      <c r="I1613" s="38">
        <v>0.12120079</v>
      </c>
      <c r="J1613" s="38">
        <v>4.7861880000000002E-3</v>
      </c>
      <c r="K1613" s="38">
        <v>0</v>
      </c>
      <c r="L1613" s="40">
        <v>1.862055078</v>
      </c>
    </row>
    <row r="1614" spans="1:12" hidden="1">
      <c r="A1614" s="41" t="s">
        <v>2434</v>
      </c>
      <c r="B1614" s="41"/>
      <c r="C1614" s="41" t="s">
        <v>861</v>
      </c>
      <c r="D1614" s="65">
        <v>7112</v>
      </c>
      <c r="E1614" s="42">
        <v>2.52</v>
      </c>
      <c r="F1614" s="43">
        <v>1.0360507999999999</v>
      </c>
      <c r="G1614" s="42">
        <v>0.31350488999999998</v>
      </c>
      <c r="H1614" s="42">
        <v>0.28130213999999998</v>
      </c>
      <c r="I1614" s="42">
        <v>0.1177356</v>
      </c>
      <c r="J1614" s="42">
        <v>4.7861880000000002E-3</v>
      </c>
      <c r="K1614" s="42">
        <v>0</v>
      </c>
      <c r="L1614" s="44">
        <v>1.7533796179999999</v>
      </c>
    </row>
    <row r="1615" spans="1:12" hidden="1">
      <c r="A1615" s="41" t="s">
        <v>2435</v>
      </c>
      <c r="B1615" s="41"/>
      <c r="C1615" s="41" t="s">
        <v>861</v>
      </c>
      <c r="D1615" s="65">
        <v>7111</v>
      </c>
      <c r="E1615" s="42">
        <v>2.13</v>
      </c>
      <c r="F1615" s="43">
        <v>1.0360507999999999</v>
      </c>
      <c r="G1615" s="42">
        <v>0.31350488999999998</v>
      </c>
      <c r="H1615" s="42">
        <v>0.28130213999999998</v>
      </c>
      <c r="I1615" s="42">
        <v>0.1177356</v>
      </c>
      <c r="J1615" s="42">
        <v>4.7861880000000002E-3</v>
      </c>
      <c r="K1615" s="42">
        <v>0</v>
      </c>
      <c r="L1615" s="44">
        <v>1.7533796179999999</v>
      </c>
    </row>
    <row r="1616" spans="1:12" hidden="1">
      <c r="A1616" s="41" t="s">
        <v>2436</v>
      </c>
      <c r="B1616" s="41"/>
      <c r="C1616" s="41" t="s">
        <v>861</v>
      </c>
      <c r="D1616" s="65">
        <v>7200</v>
      </c>
      <c r="E1616" s="42">
        <v>2.13</v>
      </c>
      <c r="F1616" s="43">
        <v>1.0360507999999999</v>
      </c>
      <c r="G1616" s="42">
        <v>0.31350488999999998</v>
      </c>
      <c r="H1616" s="42">
        <v>0.28130213999999998</v>
      </c>
      <c r="I1616" s="42">
        <v>0.1177356</v>
      </c>
      <c r="J1616" s="42">
        <v>4.7861880000000002E-3</v>
      </c>
      <c r="K1616" s="42">
        <v>0</v>
      </c>
      <c r="L1616" s="44">
        <v>1.7533796179999999</v>
      </c>
    </row>
    <row r="1617" spans="1:12" hidden="1">
      <c r="A1617" s="41" t="s">
        <v>2437</v>
      </c>
      <c r="B1617" s="41"/>
      <c r="C1617" s="41" t="s">
        <v>861</v>
      </c>
      <c r="D1617" s="65">
        <v>7113</v>
      </c>
      <c r="E1617" s="42">
        <v>2.0099999999999998</v>
      </c>
      <c r="F1617" s="43">
        <v>0.76929829999999999</v>
      </c>
      <c r="G1617" s="42">
        <v>0.22445419</v>
      </c>
      <c r="H1617" s="42">
        <v>0.28130297999999998</v>
      </c>
      <c r="I1617" s="42">
        <v>0.13064268000000001</v>
      </c>
      <c r="J1617" s="42">
        <v>4.7861880000000002E-3</v>
      </c>
      <c r="K1617" s="42">
        <v>0</v>
      </c>
      <c r="L1617" s="44">
        <v>1.4104843379999998</v>
      </c>
    </row>
    <row r="1618" spans="1:12" hidden="1">
      <c r="A1618" s="41" t="s">
        <v>2438</v>
      </c>
      <c r="B1618" s="41"/>
      <c r="C1618" s="41" t="s">
        <v>861</v>
      </c>
      <c r="D1618" s="65">
        <v>7201</v>
      </c>
      <c r="E1618" s="42">
        <v>1.95</v>
      </c>
      <c r="F1618" s="43">
        <v>0.67401535000000001</v>
      </c>
      <c r="G1618" s="42">
        <v>0.18203421</v>
      </c>
      <c r="H1618" s="42">
        <v>0.28132688</v>
      </c>
      <c r="I1618" s="42">
        <v>0.11206882999999999</v>
      </c>
      <c r="J1618" s="42">
        <v>4.7861880000000002E-3</v>
      </c>
      <c r="K1618" s="42">
        <v>0</v>
      </c>
      <c r="L1618" s="44">
        <v>1.2542314579999998</v>
      </c>
    </row>
    <row r="1619" spans="1:12" hidden="1">
      <c r="A1619" s="41" t="s">
        <v>2439</v>
      </c>
      <c r="B1619" s="41"/>
      <c r="C1619" s="41" t="s">
        <v>861</v>
      </c>
      <c r="D1619" s="65">
        <v>7125</v>
      </c>
      <c r="E1619" s="42">
        <v>2.73</v>
      </c>
      <c r="F1619" s="43">
        <v>0.33195131999999999</v>
      </c>
      <c r="G1619" s="42">
        <v>0.16988025000000001</v>
      </c>
      <c r="H1619" s="42">
        <v>1.3370842000000001E-2</v>
      </c>
      <c r="I1619" s="42">
        <v>0.14990149</v>
      </c>
      <c r="J1619" s="42">
        <v>4.7861880000000002E-3</v>
      </c>
      <c r="K1619" s="42">
        <v>0</v>
      </c>
      <c r="L1619" s="44">
        <v>0.66989008999999999</v>
      </c>
    </row>
    <row r="1620" spans="1:12" hidden="1">
      <c r="A1620" s="37" t="s">
        <v>2440</v>
      </c>
      <c r="B1620" s="37"/>
      <c r="C1620" s="37" t="s">
        <v>668</v>
      </c>
      <c r="D1620" s="64">
        <v>23200</v>
      </c>
      <c r="E1620" s="38">
        <v>2.57</v>
      </c>
      <c r="F1620" s="39">
        <v>1.02254</v>
      </c>
      <c r="G1620" s="38">
        <v>0.19915003000000001</v>
      </c>
      <c r="H1620" s="38">
        <v>0.28784527999999998</v>
      </c>
      <c r="I1620" s="38">
        <v>0.14325555000000001</v>
      </c>
      <c r="J1620" s="38">
        <v>1.9437894000000001E-2</v>
      </c>
      <c r="K1620" s="38">
        <v>0</v>
      </c>
      <c r="L1620" s="40">
        <v>1.672228754</v>
      </c>
    </row>
    <row r="1621" spans="1:12" hidden="1">
      <c r="A1621" s="41" t="s">
        <v>2441</v>
      </c>
      <c r="B1621" s="41"/>
      <c r="C1621" s="41" t="s">
        <v>861</v>
      </c>
      <c r="D1621" s="65">
        <v>7403</v>
      </c>
      <c r="E1621" s="42">
        <v>2.91</v>
      </c>
      <c r="F1621" s="43">
        <v>1.2632715999999999</v>
      </c>
      <c r="G1621" s="42">
        <v>0.19149352</v>
      </c>
      <c r="H1621" s="42">
        <v>0.10989669000000001</v>
      </c>
      <c r="I1621" s="42">
        <v>0.12659761</v>
      </c>
      <c r="J1621" s="42">
        <v>4.7861880000000002E-3</v>
      </c>
      <c r="K1621" s="42">
        <v>0</v>
      </c>
      <c r="L1621" s="44">
        <v>1.6960456079999999</v>
      </c>
    </row>
    <row r="1622" spans="1:12" hidden="1">
      <c r="A1622" s="41" t="s">
        <v>2442</v>
      </c>
      <c r="B1622" s="41"/>
      <c r="C1622" s="41" t="s">
        <v>861</v>
      </c>
      <c r="D1622" s="65">
        <v>7420</v>
      </c>
      <c r="E1622" s="42">
        <v>2.8</v>
      </c>
      <c r="F1622" s="43">
        <v>0.76929829999999999</v>
      </c>
      <c r="G1622" s="42">
        <v>0.22445419</v>
      </c>
      <c r="H1622" s="42">
        <v>0.10989669000000001</v>
      </c>
      <c r="I1622" s="42">
        <v>0.13603950000000001</v>
      </c>
      <c r="J1622" s="42">
        <v>4.7861880000000002E-3</v>
      </c>
      <c r="K1622" s="42">
        <v>0</v>
      </c>
      <c r="L1622" s="44">
        <v>1.244474868</v>
      </c>
    </row>
    <row r="1623" spans="1:12" hidden="1">
      <c r="A1623" s="41" t="s">
        <v>2443</v>
      </c>
      <c r="B1623" s="41"/>
      <c r="C1623" s="41" t="s">
        <v>861</v>
      </c>
      <c r="D1623" s="65">
        <v>7407</v>
      </c>
      <c r="E1623" s="42">
        <v>2.8</v>
      </c>
      <c r="F1623" s="43">
        <v>0.76929829999999999</v>
      </c>
      <c r="G1623" s="42">
        <v>0.22445419</v>
      </c>
      <c r="H1623" s="42">
        <v>0.10989669000000001</v>
      </c>
      <c r="I1623" s="42">
        <v>0.13603950000000001</v>
      </c>
      <c r="J1623" s="42">
        <v>4.7861880000000002E-3</v>
      </c>
      <c r="K1623" s="42">
        <v>0</v>
      </c>
      <c r="L1623" s="44">
        <v>1.244474868</v>
      </c>
    </row>
    <row r="1624" spans="1:12" hidden="1">
      <c r="A1624" s="41" t="s">
        <v>2444</v>
      </c>
      <c r="B1624" s="41"/>
      <c r="C1624" s="41" t="s">
        <v>861</v>
      </c>
      <c r="D1624" s="65">
        <v>7421</v>
      </c>
      <c r="E1624" s="42">
        <v>2.8</v>
      </c>
      <c r="F1624" s="43">
        <v>0.76929829999999999</v>
      </c>
      <c r="G1624" s="42">
        <v>0.22445419</v>
      </c>
      <c r="H1624" s="42">
        <v>0.10989669000000001</v>
      </c>
      <c r="I1624" s="42">
        <v>0.13603950000000001</v>
      </c>
      <c r="J1624" s="42">
        <v>4.7861880000000002E-3</v>
      </c>
      <c r="K1624" s="42">
        <v>0</v>
      </c>
      <c r="L1624" s="44">
        <v>1.244474868</v>
      </c>
    </row>
    <row r="1625" spans="1:12" hidden="1">
      <c r="A1625" s="41" t="s">
        <v>2445</v>
      </c>
      <c r="B1625" s="41"/>
      <c r="C1625" s="41" t="s">
        <v>861</v>
      </c>
      <c r="D1625" s="65">
        <v>7409</v>
      </c>
      <c r="E1625" s="42">
        <v>2.8</v>
      </c>
      <c r="F1625" s="43">
        <v>0.76929829999999999</v>
      </c>
      <c r="G1625" s="42">
        <v>0.22445419</v>
      </c>
      <c r="H1625" s="42">
        <v>0.10989669000000001</v>
      </c>
      <c r="I1625" s="42">
        <v>0.13603950000000001</v>
      </c>
      <c r="J1625" s="42">
        <v>4.7861880000000002E-3</v>
      </c>
      <c r="K1625" s="42">
        <v>0</v>
      </c>
      <c r="L1625" s="44">
        <v>1.244474868</v>
      </c>
    </row>
    <row r="1626" spans="1:12" hidden="1">
      <c r="A1626" s="41" t="s">
        <v>2446</v>
      </c>
      <c r="B1626" s="41"/>
      <c r="C1626" s="41" t="s">
        <v>861</v>
      </c>
      <c r="D1626" s="65">
        <v>7004</v>
      </c>
      <c r="E1626" s="42">
        <v>2.34</v>
      </c>
      <c r="F1626" s="43">
        <v>0.38312009000000002</v>
      </c>
      <c r="G1626" s="42">
        <v>0.17820109000000001</v>
      </c>
      <c r="H1626" s="42">
        <v>0.28131556000000002</v>
      </c>
      <c r="I1626" s="42">
        <v>0.11036461</v>
      </c>
      <c r="J1626" s="42">
        <v>4.7861880000000002E-3</v>
      </c>
      <c r="K1626" s="42">
        <v>0</v>
      </c>
      <c r="L1626" s="44">
        <v>0.95778753799999994</v>
      </c>
    </row>
    <row r="1627" spans="1:12" hidden="1">
      <c r="A1627" s="41" t="s">
        <v>2447</v>
      </c>
      <c r="B1627" s="41"/>
      <c r="C1627" s="41" t="s">
        <v>861</v>
      </c>
      <c r="D1627" s="65">
        <v>7400</v>
      </c>
      <c r="E1627" s="42">
        <v>2.73</v>
      </c>
      <c r="F1627" s="43">
        <v>0.38312009000000002</v>
      </c>
      <c r="G1627" s="42">
        <v>0.17820109000000001</v>
      </c>
      <c r="H1627" s="42">
        <v>0.10990927</v>
      </c>
      <c r="I1627" s="42">
        <v>0.11576143</v>
      </c>
      <c r="J1627" s="42">
        <v>4.7861880000000002E-3</v>
      </c>
      <c r="K1627" s="42">
        <v>0</v>
      </c>
      <c r="L1627" s="44">
        <v>0.79177806799999995</v>
      </c>
    </row>
    <row r="1628" spans="1:12" hidden="1">
      <c r="A1628" s="41" t="s">
        <v>2448</v>
      </c>
      <c r="B1628" s="41"/>
      <c r="C1628" s="41" t="s">
        <v>861</v>
      </c>
      <c r="D1628" s="65">
        <v>7425</v>
      </c>
      <c r="E1628" s="42">
        <v>2.73</v>
      </c>
      <c r="F1628" s="43">
        <v>0.32862228999999998</v>
      </c>
      <c r="G1628" s="42">
        <v>0.17482532000000001</v>
      </c>
      <c r="H1628" s="42">
        <v>0.1099564</v>
      </c>
      <c r="I1628" s="42">
        <v>0.11576143</v>
      </c>
      <c r="J1628" s="42">
        <v>4.7861880000000002E-3</v>
      </c>
      <c r="K1628" s="42">
        <v>0</v>
      </c>
      <c r="L1628" s="44">
        <v>0.73395162800000002</v>
      </c>
    </row>
    <row r="1629" spans="1:12" hidden="1">
      <c r="A1629" s="37" t="s">
        <v>2449</v>
      </c>
      <c r="B1629" s="37"/>
      <c r="C1629" s="37" t="s">
        <v>861</v>
      </c>
      <c r="D1629" s="64">
        <v>7170</v>
      </c>
      <c r="E1629" s="38">
        <v>1.95</v>
      </c>
      <c r="F1629" s="39">
        <v>0.53324574999999996</v>
      </c>
      <c r="G1629" s="38">
        <v>0.1810128</v>
      </c>
      <c r="H1629" s="38">
        <v>0.28129753000000002</v>
      </c>
      <c r="I1629" s="38">
        <v>0.12114</v>
      </c>
      <c r="J1629" s="38">
        <v>4.7861880000000002E-3</v>
      </c>
      <c r="K1629" s="38">
        <v>0</v>
      </c>
      <c r="L1629" s="40">
        <v>1.1214822679999998</v>
      </c>
    </row>
    <row r="1630" spans="1:12" hidden="1">
      <c r="A1630" s="37" t="s">
        <v>2450</v>
      </c>
      <c r="B1630" s="37"/>
      <c r="C1630" s="37" t="s">
        <v>1085</v>
      </c>
      <c r="D1630" s="64">
        <v>39236</v>
      </c>
      <c r="E1630" s="38">
        <v>2.37</v>
      </c>
      <c r="F1630" s="39">
        <v>1.3004723</v>
      </c>
      <c r="G1630" s="38">
        <v>0.18076207999999999</v>
      </c>
      <c r="H1630" s="38">
        <v>0.1855243</v>
      </c>
      <c r="I1630" s="38">
        <v>0.20803694</v>
      </c>
      <c r="J1630" s="38">
        <v>3.7768032999999999E-2</v>
      </c>
      <c r="K1630" s="38">
        <v>6.6736979E-3</v>
      </c>
      <c r="L1630" s="40">
        <v>1.9192373509</v>
      </c>
    </row>
    <row r="1631" spans="1:12" hidden="1">
      <c r="A1631" s="37" t="s">
        <v>2451</v>
      </c>
      <c r="B1631" s="37"/>
      <c r="C1631" s="37" t="s">
        <v>861</v>
      </c>
      <c r="D1631" s="64">
        <v>7180</v>
      </c>
      <c r="E1631" s="38">
        <v>1.95</v>
      </c>
      <c r="F1631" s="39">
        <v>0.39174693999999999</v>
      </c>
      <c r="G1631" s="38">
        <v>0.18044261</v>
      </c>
      <c r="H1631" s="38">
        <v>0.28131221000000001</v>
      </c>
      <c r="I1631" s="38">
        <v>0.11560606</v>
      </c>
      <c r="J1631" s="38">
        <v>4.7861880000000002E-3</v>
      </c>
      <c r="K1631" s="38">
        <v>0</v>
      </c>
      <c r="L1631" s="40">
        <v>0.97389400800000003</v>
      </c>
    </row>
    <row r="1632" spans="1:12" hidden="1">
      <c r="A1632" s="41" t="s">
        <v>2452</v>
      </c>
      <c r="B1632" s="41"/>
      <c r="C1632" s="41" t="s">
        <v>861</v>
      </c>
      <c r="D1632" s="65">
        <v>7262</v>
      </c>
      <c r="E1632" s="42">
        <v>1.95</v>
      </c>
      <c r="F1632" s="43">
        <v>0.38491878000000002</v>
      </c>
      <c r="G1632" s="42">
        <v>0.17831667000000001</v>
      </c>
      <c r="H1632" s="42">
        <v>6.7833729999999997E-3</v>
      </c>
      <c r="I1632" s="42">
        <v>0.10604716</v>
      </c>
      <c r="J1632" s="42">
        <v>4.7861880000000002E-3</v>
      </c>
      <c r="K1632" s="42">
        <v>0</v>
      </c>
      <c r="L1632" s="44">
        <v>0.68085217100000006</v>
      </c>
    </row>
    <row r="1633" spans="1:12" hidden="1">
      <c r="A1633" s="41" t="s">
        <v>2453</v>
      </c>
      <c r="B1633" s="41"/>
      <c r="C1633" s="41" t="s">
        <v>861</v>
      </c>
      <c r="D1633" s="65">
        <v>7259</v>
      </c>
      <c r="E1633" s="42">
        <v>2.13</v>
      </c>
      <c r="F1633" s="43">
        <v>1.3612096</v>
      </c>
      <c r="G1633" s="42">
        <v>0.18420824999999999</v>
      </c>
      <c r="H1633" s="42">
        <v>6.7726833000000004E-3</v>
      </c>
      <c r="I1633" s="42">
        <v>0.12926372</v>
      </c>
      <c r="J1633" s="42">
        <v>4.7861880000000002E-3</v>
      </c>
      <c r="K1633" s="42">
        <v>0</v>
      </c>
      <c r="L1633" s="44">
        <v>1.6862404412999998</v>
      </c>
    </row>
    <row r="1634" spans="1:12" hidden="1">
      <c r="A1634" s="37" t="s">
        <v>2454</v>
      </c>
      <c r="B1634" s="37"/>
      <c r="C1634" s="37" t="s">
        <v>861</v>
      </c>
      <c r="D1634" s="64">
        <v>7002</v>
      </c>
      <c r="E1634" s="38">
        <v>1.95</v>
      </c>
      <c r="F1634" s="39">
        <v>0.34823500000000002</v>
      </c>
      <c r="G1634" s="38">
        <v>0.1745707</v>
      </c>
      <c r="H1634" s="38">
        <v>1.3406684E-2</v>
      </c>
      <c r="I1634" s="38">
        <v>0.11892952</v>
      </c>
      <c r="J1634" s="38">
        <v>4.7861880000000002E-3</v>
      </c>
      <c r="K1634" s="38">
        <v>0</v>
      </c>
      <c r="L1634" s="40">
        <v>0.65992809200000002</v>
      </c>
    </row>
    <row r="1635" spans="1:12" hidden="1">
      <c r="A1635" s="37" t="s">
        <v>2455</v>
      </c>
      <c r="B1635" s="37"/>
      <c r="C1635" s="37" t="s">
        <v>861</v>
      </c>
      <c r="D1635" s="64">
        <v>7255</v>
      </c>
      <c r="E1635" s="38">
        <v>2.82</v>
      </c>
      <c r="F1635" s="39">
        <v>0.64657094000000004</v>
      </c>
      <c r="G1635" s="38">
        <v>0.23045151</v>
      </c>
      <c r="H1635" s="38">
        <v>1.3388449E-2</v>
      </c>
      <c r="I1635" s="38">
        <v>0.14119555</v>
      </c>
      <c r="J1635" s="38">
        <v>4.7861880000000002E-3</v>
      </c>
      <c r="K1635" s="38">
        <v>0</v>
      </c>
      <c r="L1635" s="40">
        <v>1.0363926370000001</v>
      </c>
    </row>
    <row r="1636" spans="1:12">
      <c r="A1636" s="37" t="s">
        <v>2456</v>
      </c>
      <c r="B1636" s="37"/>
      <c r="C1636" s="37" t="s">
        <v>861</v>
      </c>
      <c r="D1636" s="64">
        <v>7025</v>
      </c>
      <c r="E1636" s="38">
        <v>1.95</v>
      </c>
      <c r="F1636" s="39">
        <v>0.39580537999999998</v>
      </c>
      <c r="G1636" s="38">
        <v>0.20996139999999999</v>
      </c>
      <c r="H1636" s="38">
        <v>1.3425968E-2</v>
      </c>
      <c r="I1636" s="38">
        <v>0.113472</v>
      </c>
      <c r="J1636" s="38">
        <v>4.7861880000000002E-3</v>
      </c>
      <c r="K1636" s="38">
        <v>0</v>
      </c>
      <c r="L1636" s="40">
        <v>0.73745093599999989</v>
      </c>
    </row>
    <row r="1637" spans="1:12" hidden="1">
      <c r="A1637" s="37" t="s">
        <v>2457</v>
      </c>
      <c r="B1637" s="37"/>
      <c r="C1637" s="37" t="s">
        <v>861</v>
      </c>
      <c r="D1637" s="64">
        <v>7010</v>
      </c>
      <c r="E1637" s="38">
        <v>2.34</v>
      </c>
      <c r="F1637" s="39">
        <v>0.38312009000000002</v>
      </c>
      <c r="G1637" s="38">
        <v>0.17820109000000001</v>
      </c>
      <c r="H1637" s="38">
        <v>1.3430368999999999E-2</v>
      </c>
      <c r="I1637" s="38">
        <v>0.10712652</v>
      </c>
      <c r="J1637" s="38">
        <v>4.7861880000000002E-3</v>
      </c>
      <c r="K1637" s="38">
        <v>0</v>
      </c>
      <c r="L1637" s="40">
        <v>0.686664257</v>
      </c>
    </row>
    <row r="1638" spans="1:12" hidden="1">
      <c r="A1638" s="37" t="s">
        <v>2458</v>
      </c>
      <c r="B1638" s="37"/>
      <c r="C1638" s="37" t="s">
        <v>861</v>
      </c>
      <c r="D1638" s="64">
        <v>7100</v>
      </c>
      <c r="E1638" s="38">
        <v>1.95</v>
      </c>
      <c r="F1638" s="39">
        <v>0.38491878000000002</v>
      </c>
      <c r="G1638" s="38">
        <v>0.17831667000000001</v>
      </c>
      <c r="H1638" s="38">
        <v>1.3430998E-2</v>
      </c>
      <c r="I1638" s="38">
        <v>0.10712652</v>
      </c>
      <c r="J1638" s="38">
        <v>4.7861880000000002E-3</v>
      </c>
      <c r="K1638" s="38">
        <v>0</v>
      </c>
      <c r="L1638" s="40">
        <v>0.68857915600000008</v>
      </c>
    </row>
    <row r="1639" spans="1:12" hidden="1">
      <c r="A1639" s="37" t="s">
        <v>2459</v>
      </c>
      <c r="B1639" s="37"/>
      <c r="C1639" s="37" t="s">
        <v>861</v>
      </c>
      <c r="D1639" s="64">
        <v>7001</v>
      </c>
      <c r="E1639" s="38">
        <v>1.95</v>
      </c>
      <c r="F1639" s="39">
        <v>0.38312009000000002</v>
      </c>
      <c r="G1639" s="38">
        <v>0.17820109000000001</v>
      </c>
      <c r="H1639" s="38">
        <v>1.3430368999999999E-2</v>
      </c>
      <c r="I1639" s="38">
        <v>0.10712652</v>
      </c>
      <c r="J1639" s="38">
        <v>4.7861880000000002E-3</v>
      </c>
      <c r="K1639" s="38">
        <v>0</v>
      </c>
      <c r="L1639" s="40">
        <v>0.686664257</v>
      </c>
    </row>
    <row r="1640" spans="1:12" hidden="1">
      <c r="A1640" s="37" t="s">
        <v>2460</v>
      </c>
      <c r="B1640" s="37"/>
      <c r="C1640" s="37" t="s">
        <v>861</v>
      </c>
      <c r="D1640" s="64">
        <v>7007</v>
      </c>
      <c r="E1640" s="38">
        <v>1.95</v>
      </c>
      <c r="F1640" s="39">
        <v>0.38312009000000002</v>
      </c>
      <c r="G1640" s="38">
        <v>0.17820109000000001</v>
      </c>
      <c r="H1640" s="38">
        <v>1.3430368999999999E-2</v>
      </c>
      <c r="I1640" s="38">
        <v>0.10712652</v>
      </c>
      <c r="J1640" s="38">
        <v>4.7861880000000002E-3</v>
      </c>
      <c r="K1640" s="38">
        <v>0</v>
      </c>
      <c r="L1640" s="40">
        <v>0.686664257</v>
      </c>
    </row>
    <row r="1641" spans="1:12" hidden="1">
      <c r="A1641" s="37" t="s">
        <v>2461</v>
      </c>
      <c r="B1641" s="37"/>
      <c r="C1641" s="37" t="s">
        <v>861</v>
      </c>
      <c r="D1641" s="64">
        <v>7160</v>
      </c>
      <c r="E1641" s="38">
        <v>2.34</v>
      </c>
      <c r="F1641" s="39">
        <v>0.38312009000000002</v>
      </c>
      <c r="G1641" s="38">
        <v>0.17820109000000001</v>
      </c>
      <c r="H1641" s="38">
        <v>1.3430368999999999E-2</v>
      </c>
      <c r="I1641" s="38">
        <v>0.10712652</v>
      </c>
      <c r="J1641" s="38">
        <v>4.7861880000000002E-3</v>
      </c>
      <c r="K1641" s="38">
        <v>0</v>
      </c>
      <c r="L1641" s="40">
        <v>0.686664257</v>
      </c>
    </row>
    <row r="1642" spans="1:12" hidden="1">
      <c r="A1642" s="37" t="s">
        <v>2462</v>
      </c>
      <c r="B1642" s="37"/>
      <c r="C1642" s="37" t="s">
        <v>861</v>
      </c>
      <c r="D1642" s="64">
        <v>7130</v>
      </c>
      <c r="E1642" s="38">
        <v>2.35</v>
      </c>
      <c r="F1642" s="39">
        <v>0.20132697999999999</v>
      </c>
      <c r="G1642" s="38">
        <v>1.0482899999999999</v>
      </c>
      <c r="H1642" s="38">
        <v>0.28118162000000002</v>
      </c>
      <c r="I1642" s="38">
        <v>0.2701306</v>
      </c>
      <c r="J1642" s="38">
        <v>4.7861880000000002E-3</v>
      </c>
      <c r="K1642" s="38">
        <v>0</v>
      </c>
      <c r="L1642" s="40">
        <v>1.8057153879999996</v>
      </c>
    </row>
    <row r="1643" spans="1:12" hidden="1">
      <c r="A1643" s="41" t="s">
        <v>2463</v>
      </c>
      <c r="B1643" s="41"/>
      <c r="C1643" s="41" t="s">
        <v>811</v>
      </c>
      <c r="D1643" s="65">
        <v>25199</v>
      </c>
      <c r="E1643" s="42">
        <v>2.57</v>
      </c>
      <c r="F1643" s="43">
        <v>0.37648253999999998</v>
      </c>
      <c r="G1643" s="42">
        <v>0.37057236999999998</v>
      </c>
      <c r="H1643" s="42">
        <v>9.9451078999999998E-2</v>
      </c>
      <c r="I1643" s="42">
        <v>0.23140150000000001</v>
      </c>
      <c r="J1643" s="42">
        <v>6.5229756E-2</v>
      </c>
      <c r="K1643" s="42">
        <v>3.6274453999999998E-2</v>
      </c>
      <c r="L1643" s="44">
        <v>1.1794116989999999</v>
      </c>
    </row>
    <row r="1644" spans="1:12" hidden="1">
      <c r="A1644" s="41" t="s">
        <v>2464</v>
      </c>
      <c r="B1644" s="41"/>
      <c r="C1644" s="41" t="s">
        <v>811</v>
      </c>
      <c r="D1644" s="65">
        <v>25208</v>
      </c>
      <c r="E1644" s="42">
        <v>2.57</v>
      </c>
      <c r="F1644" s="43">
        <v>0.37648253999999998</v>
      </c>
      <c r="G1644" s="42">
        <v>0.37057236999999998</v>
      </c>
      <c r="H1644" s="42">
        <v>9.9451078999999998E-2</v>
      </c>
      <c r="I1644" s="42">
        <v>0.23140150000000001</v>
      </c>
      <c r="J1644" s="42">
        <v>6.5229756E-2</v>
      </c>
      <c r="K1644" s="42">
        <v>3.6274453999999998E-2</v>
      </c>
      <c r="L1644" s="44">
        <v>1.1794116989999999</v>
      </c>
    </row>
    <row r="1645" spans="1:12" hidden="1">
      <c r="A1645" s="37" t="s">
        <v>2465</v>
      </c>
      <c r="B1645" s="37"/>
      <c r="C1645" s="37" t="s">
        <v>623</v>
      </c>
      <c r="D1645" s="64">
        <v>24660</v>
      </c>
      <c r="E1645" s="38">
        <v>2.14</v>
      </c>
      <c r="F1645" s="39">
        <v>2.3352195999999998</v>
      </c>
      <c r="G1645" s="38">
        <v>0.22674428999999999</v>
      </c>
      <c r="H1645" s="38">
        <v>0.10984302999999999</v>
      </c>
      <c r="I1645" s="38">
        <v>0.13370767</v>
      </c>
      <c r="J1645" s="38">
        <v>1.9437894000000001E-2</v>
      </c>
      <c r="K1645" s="38">
        <v>0</v>
      </c>
      <c r="L1645" s="40">
        <v>2.8249524840000002</v>
      </c>
    </row>
    <row r="1646" spans="1:12" hidden="1">
      <c r="A1646" s="41" t="s">
        <v>2466</v>
      </c>
      <c r="B1646" s="41"/>
      <c r="C1646" s="41" t="s">
        <v>634</v>
      </c>
      <c r="D1646" s="65">
        <v>13614</v>
      </c>
      <c r="E1646" s="42">
        <v>2.36</v>
      </c>
      <c r="F1646" s="43">
        <v>0.40287593999999999</v>
      </c>
      <c r="G1646" s="42">
        <v>0</v>
      </c>
      <c r="H1646" s="42">
        <v>0</v>
      </c>
      <c r="I1646" s="42">
        <v>0.27356253000000003</v>
      </c>
      <c r="J1646" s="42">
        <v>1.3134063E-2</v>
      </c>
      <c r="K1646" s="42">
        <v>8.0351048999999994E-2</v>
      </c>
      <c r="L1646" s="44">
        <v>0.769923582</v>
      </c>
    </row>
    <row r="1647" spans="1:12" hidden="1">
      <c r="A1647" s="37" t="s">
        <v>2467</v>
      </c>
      <c r="B1647" s="37"/>
      <c r="C1647" s="37" t="s">
        <v>674</v>
      </c>
      <c r="D1647" s="64">
        <v>25513</v>
      </c>
      <c r="E1647" s="38">
        <v>2.56</v>
      </c>
      <c r="F1647" s="39">
        <v>1.0400498</v>
      </c>
      <c r="G1647" s="38">
        <v>0.17772667</v>
      </c>
      <c r="H1647" s="38">
        <v>0.27084185</v>
      </c>
      <c r="I1647" s="38">
        <v>0.3313451</v>
      </c>
      <c r="J1647" s="38">
        <v>3.7768032999999999E-2</v>
      </c>
      <c r="K1647" s="38">
        <v>6.6736979E-3</v>
      </c>
      <c r="L1647" s="40">
        <v>1.8644051509000001</v>
      </c>
    </row>
    <row r="1648" spans="1:12" hidden="1">
      <c r="A1648" s="41" t="s">
        <v>2468</v>
      </c>
      <c r="B1648" s="41"/>
      <c r="C1648" s="41" t="s">
        <v>657</v>
      </c>
      <c r="D1648" s="65">
        <v>5004</v>
      </c>
      <c r="E1648" s="42">
        <v>2.39</v>
      </c>
      <c r="F1648" s="43">
        <v>6.4590211999999994E-2</v>
      </c>
      <c r="G1648" s="42">
        <v>0.13906568</v>
      </c>
      <c r="H1648" s="42">
        <v>0.47782284000000003</v>
      </c>
      <c r="I1648" s="42">
        <v>0.27611591000000002</v>
      </c>
      <c r="J1648" s="42">
        <v>3.5836186999999999E-2</v>
      </c>
      <c r="K1648" s="42">
        <v>6.6736979E-3</v>
      </c>
      <c r="L1648" s="44">
        <v>1.0001045269</v>
      </c>
    </row>
    <row r="1649" spans="1:12" hidden="1">
      <c r="A1649" s="41" t="s">
        <v>2469</v>
      </c>
      <c r="B1649" s="41"/>
      <c r="C1649" s="41" t="s">
        <v>657</v>
      </c>
      <c r="D1649" s="65">
        <v>5005</v>
      </c>
      <c r="E1649" s="42">
        <v>2.39</v>
      </c>
      <c r="F1649" s="43">
        <v>6.4590211999999994E-2</v>
      </c>
      <c r="G1649" s="42">
        <v>0.13906568</v>
      </c>
      <c r="H1649" s="42">
        <v>0.47782284000000003</v>
      </c>
      <c r="I1649" s="42">
        <v>0.27611591000000002</v>
      </c>
      <c r="J1649" s="42">
        <v>3.5836186999999999E-2</v>
      </c>
      <c r="K1649" s="42">
        <v>6.6736979E-3</v>
      </c>
      <c r="L1649" s="44">
        <v>1.0001045269</v>
      </c>
    </row>
    <row r="1650" spans="1:12" hidden="1">
      <c r="A1650" s="37" t="s">
        <v>2470</v>
      </c>
      <c r="B1650" s="37"/>
      <c r="C1650" s="37" t="s">
        <v>842</v>
      </c>
      <c r="D1650" s="64">
        <v>20181</v>
      </c>
      <c r="E1650" s="38">
        <v>2.6</v>
      </c>
      <c r="F1650" s="39">
        <v>9.1697658000000001E-2</v>
      </c>
      <c r="G1650" s="38">
        <v>0</v>
      </c>
      <c r="H1650" s="38">
        <v>0</v>
      </c>
      <c r="I1650" s="38">
        <v>0.27356253000000003</v>
      </c>
      <c r="J1650" s="38">
        <v>1.2217853000000001E-2</v>
      </c>
      <c r="K1650" s="38">
        <v>8.0351048999999994E-2</v>
      </c>
      <c r="L1650" s="40">
        <v>0.45782909000000005</v>
      </c>
    </row>
    <row r="1651" spans="1:12" hidden="1">
      <c r="A1651" s="37" t="s">
        <v>2471</v>
      </c>
      <c r="B1651" s="37"/>
      <c r="C1651" s="37" t="s">
        <v>842</v>
      </c>
      <c r="D1651" s="64">
        <v>20133</v>
      </c>
      <c r="E1651" s="38">
        <v>3</v>
      </c>
      <c r="F1651" s="39">
        <v>0.1071146</v>
      </c>
      <c r="G1651" s="38">
        <v>0</v>
      </c>
      <c r="H1651" s="38">
        <v>0.28002042999999999</v>
      </c>
      <c r="I1651" s="38">
        <v>0.3335497</v>
      </c>
      <c r="J1651" s="38">
        <v>1.4272017E-2</v>
      </c>
      <c r="K1651" s="38">
        <v>0.19993026999999999</v>
      </c>
      <c r="L1651" s="40">
        <v>0.93488701699999999</v>
      </c>
    </row>
    <row r="1652" spans="1:12" hidden="1">
      <c r="A1652" s="37" t="s">
        <v>2472</v>
      </c>
      <c r="B1652" s="37"/>
      <c r="C1652" s="37" t="s">
        <v>631</v>
      </c>
      <c r="D1652" s="64">
        <v>28858</v>
      </c>
      <c r="E1652" s="38">
        <v>2.5099999999999998</v>
      </c>
      <c r="F1652" s="39">
        <v>14.58215</v>
      </c>
      <c r="G1652" s="38">
        <v>2.3310966</v>
      </c>
      <c r="H1652" s="38">
        <v>0.12371043</v>
      </c>
      <c r="I1652" s="38">
        <v>0.27740542000000001</v>
      </c>
      <c r="J1652" s="38">
        <v>4.6692341999999998E-2</v>
      </c>
      <c r="K1652" s="38">
        <v>8.8693171000000001E-2</v>
      </c>
      <c r="L1652" s="40">
        <v>17.449747963</v>
      </c>
    </row>
    <row r="1653" spans="1:12" hidden="1">
      <c r="A1653" s="37" t="s">
        <v>2473</v>
      </c>
      <c r="B1653" s="37"/>
      <c r="C1653" s="37" t="s">
        <v>873</v>
      </c>
      <c r="D1653" s="64">
        <v>27018</v>
      </c>
      <c r="E1653" s="38">
        <v>3.68</v>
      </c>
      <c r="F1653" s="39">
        <v>15.344621</v>
      </c>
      <c r="G1653" s="38">
        <v>0</v>
      </c>
      <c r="H1653" s="38">
        <v>0.22504651000000001</v>
      </c>
      <c r="I1653" s="38">
        <v>1.2200404</v>
      </c>
      <c r="J1653" s="38">
        <v>4.5611246000000001E-2</v>
      </c>
      <c r="K1653" s="38">
        <v>9.4039550999999999E-2</v>
      </c>
      <c r="L1653" s="40">
        <v>16.929358707000002</v>
      </c>
    </row>
    <row r="1654" spans="1:12" hidden="1">
      <c r="A1654" s="37" t="s">
        <v>2474</v>
      </c>
      <c r="B1654" s="37"/>
      <c r="C1654" s="37" t="s">
        <v>826</v>
      </c>
      <c r="D1654" s="64">
        <v>27017</v>
      </c>
      <c r="E1654" s="38">
        <v>3.68</v>
      </c>
      <c r="F1654" s="39">
        <v>11.269168000000001</v>
      </c>
      <c r="G1654" s="38">
        <v>0</v>
      </c>
      <c r="H1654" s="38">
        <v>0.27530876999999998</v>
      </c>
      <c r="I1654" s="38">
        <v>0.99916660000000002</v>
      </c>
      <c r="J1654" s="38">
        <v>3.7353873000000003E-2</v>
      </c>
      <c r="K1654" s="38">
        <v>6.6736979E-3</v>
      </c>
      <c r="L1654" s="40">
        <v>12.587670940900002</v>
      </c>
    </row>
    <row r="1655" spans="1:12" hidden="1">
      <c r="A1655" s="37" t="s">
        <v>2475</v>
      </c>
      <c r="B1655" s="37"/>
      <c r="C1655" s="37" t="s">
        <v>1085</v>
      </c>
      <c r="D1655" s="64">
        <v>19685</v>
      </c>
      <c r="E1655" s="38">
        <v>3.07</v>
      </c>
      <c r="F1655" s="39">
        <v>1.1890768</v>
      </c>
      <c r="G1655" s="38">
        <v>0.28767938999999998</v>
      </c>
      <c r="H1655" s="38">
        <v>0.18549789</v>
      </c>
      <c r="I1655" s="38">
        <v>0.19277257</v>
      </c>
      <c r="J1655" s="38">
        <v>3.7768032999999999E-2</v>
      </c>
      <c r="K1655" s="38">
        <v>6.6736979E-3</v>
      </c>
      <c r="L1655" s="40">
        <v>1.8994683809000001</v>
      </c>
    </row>
    <row r="1656" spans="1:12" hidden="1">
      <c r="A1656" s="37" t="s">
        <v>2476</v>
      </c>
      <c r="B1656" s="37"/>
      <c r="C1656" s="37" t="s">
        <v>634</v>
      </c>
      <c r="D1656" s="64">
        <v>13035</v>
      </c>
      <c r="E1656" s="38">
        <v>2.46</v>
      </c>
      <c r="F1656" s="39">
        <v>0.17342927</v>
      </c>
      <c r="G1656" s="38">
        <v>0</v>
      </c>
      <c r="H1656" s="38">
        <v>0</v>
      </c>
      <c r="I1656" s="38">
        <v>0.58929779999999998</v>
      </c>
      <c r="J1656" s="38">
        <v>1.2765701000000001E-2</v>
      </c>
      <c r="K1656" s="38">
        <v>8.0351048999999994E-2</v>
      </c>
      <c r="L1656" s="40">
        <v>0.85584381999999992</v>
      </c>
    </row>
    <row r="1657" spans="1:12" hidden="1">
      <c r="A1657" s="37" t="s">
        <v>2477</v>
      </c>
      <c r="B1657" s="37"/>
      <c r="C1657" s="37" t="s">
        <v>1199</v>
      </c>
      <c r="D1657" s="64">
        <v>11049</v>
      </c>
      <c r="E1657" s="38">
        <v>4.3099999999999996</v>
      </c>
      <c r="F1657" s="39">
        <v>6.8743721000000004</v>
      </c>
      <c r="G1657" s="38">
        <v>0.44480792000000002</v>
      </c>
      <c r="H1657" s="38">
        <v>0.47782284000000003</v>
      </c>
      <c r="I1657" s="38">
        <v>0.33418850999999999</v>
      </c>
      <c r="J1657" s="38">
        <v>1.5675970000000001E-2</v>
      </c>
      <c r="K1657" s="38">
        <v>0</v>
      </c>
      <c r="L1657" s="40">
        <v>8.14686734</v>
      </c>
    </row>
    <row r="1658" spans="1:12" hidden="1">
      <c r="A1658" s="41" t="s">
        <v>2478</v>
      </c>
      <c r="B1658" s="41"/>
      <c r="C1658" s="41" t="s">
        <v>811</v>
      </c>
      <c r="D1658" s="65">
        <v>25195</v>
      </c>
      <c r="E1658" s="42">
        <v>2.4700000000000002</v>
      </c>
      <c r="F1658" s="43">
        <v>3.7019460999999998</v>
      </c>
      <c r="G1658" s="42">
        <v>0.70340069999999999</v>
      </c>
      <c r="H1658" s="42">
        <v>0.18549789</v>
      </c>
      <c r="I1658" s="42">
        <v>0.26689562999999999</v>
      </c>
      <c r="J1658" s="42">
        <v>3.7768032999999999E-2</v>
      </c>
      <c r="K1658" s="42">
        <v>1.7696322E-2</v>
      </c>
      <c r="L1658" s="44">
        <v>4.9132046749999994</v>
      </c>
    </row>
    <row r="1659" spans="1:12" hidden="1">
      <c r="A1659" s="41" t="s">
        <v>2479</v>
      </c>
      <c r="B1659" s="41"/>
      <c r="C1659" s="41" t="s">
        <v>811</v>
      </c>
      <c r="D1659" s="65">
        <v>25587</v>
      </c>
      <c r="E1659" s="42">
        <v>2.4700000000000002</v>
      </c>
      <c r="F1659" s="43">
        <v>3.7019460999999998</v>
      </c>
      <c r="G1659" s="42">
        <v>0.70340069999999999</v>
      </c>
      <c r="H1659" s="42">
        <v>0.18549789</v>
      </c>
      <c r="I1659" s="42">
        <v>0.26689562999999999</v>
      </c>
      <c r="J1659" s="42">
        <v>3.7768032999999999E-2</v>
      </c>
      <c r="K1659" s="42">
        <v>1.7696322E-2</v>
      </c>
      <c r="L1659" s="44">
        <v>4.9132046749999994</v>
      </c>
    </row>
    <row r="1660" spans="1:12" hidden="1">
      <c r="A1660" s="37" t="s">
        <v>2480</v>
      </c>
      <c r="B1660" s="37"/>
      <c r="C1660" s="37" t="s">
        <v>640</v>
      </c>
      <c r="D1660" s="64">
        <v>12120</v>
      </c>
      <c r="E1660" s="38">
        <v>1.84</v>
      </c>
      <c r="F1660" s="39">
        <v>5.2111495000000003</v>
      </c>
      <c r="G1660" s="38">
        <v>0.39044211000000001</v>
      </c>
      <c r="H1660" s="38">
        <v>0.26233268999999998</v>
      </c>
      <c r="I1660" s="38">
        <v>0.21100323000000001</v>
      </c>
      <c r="J1660" s="38">
        <v>3.5969872999999999E-2</v>
      </c>
      <c r="K1660" s="38">
        <v>6.6736979E-3</v>
      </c>
      <c r="L1660" s="40">
        <v>6.1175711009000011</v>
      </c>
    </row>
    <row r="1661" spans="1:12" hidden="1">
      <c r="A1661" s="41" t="s">
        <v>2481</v>
      </c>
      <c r="B1661" s="41"/>
      <c r="C1661" s="41" t="s">
        <v>634</v>
      </c>
      <c r="D1661" s="65">
        <v>13036</v>
      </c>
      <c r="E1661" s="42">
        <v>2.68</v>
      </c>
      <c r="F1661" s="43">
        <v>0.23917142999999999</v>
      </c>
      <c r="G1661" s="42">
        <v>0</v>
      </c>
      <c r="H1661" s="42">
        <v>0</v>
      </c>
      <c r="I1661" s="42">
        <v>0.31519117000000002</v>
      </c>
      <c r="J1661" s="42">
        <v>6.7501727000000003E-3</v>
      </c>
      <c r="K1661" s="42">
        <v>8.0351048999999994E-2</v>
      </c>
      <c r="L1661" s="44">
        <v>0.64146382170000005</v>
      </c>
    </row>
    <row r="1662" spans="1:12" hidden="1">
      <c r="A1662" s="37" t="s">
        <v>2482</v>
      </c>
      <c r="B1662" s="37"/>
      <c r="C1662" s="37" t="s">
        <v>644</v>
      </c>
      <c r="D1662" s="64">
        <v>25568</v>
      </c>
      <c r="E1662" s="38">
        <v>2.58</v>
      </c>
      <c r="F1662" s="39">
        <v>2.7395171999999999</v>
      </c>
      <c r="G1662" s="38">
        <v>0.61740689999999998</v>
      </c>
      <c r="H1662" s="38">
        <v>0.10403579</v>
      </c>
      <c r="I1662" s="38">
        <v>0.27838237999999998</v>
      </c>
      <c r="J1662" s="38">
        <v>3.7768032999999999E-2</v>
      </c>
      <c r="K1662" s="38">
        <v>9.2564276000000001E-2</v>
      </c>
      <c r="L1662" s="40">
        <v>3.8696745789999998</v>
      </c>
    </row>
    <row r="1663" spans="1:12" hidden="1">
      <c r="A1663" s="37" t="s">
        <v>2483</v>
      </c>
      <c r="B1663" s="37"/>
      <c r="C1663" s="37" t="s">
        <v>657</v>
      </c>
      <c r="D1663" s="64">
        <v>1000</v>
      </c>
      <c r="E1663" s="38">
        <v>3.29</v>
      </c>
      <c r="F1663" s="39">
        <v>6.2203355000000002E-3</v>
      </c>
      <c r="G1663" s="38">
        <v>0.35111300000000001</v>
      </c>
      <c r="H1663" s="38">
        <v>0.47782284000000003</v>
      </c>
      <c r="I1663" s="38">
        <v>0.17638297999999999</v>
      </c>
      <c r="J1663" s="38">
        <v>1.5108570999999999E-2</v>
      </c>
      <c r="K1663" s="38">
        <v>6.6736979E-3</v>
      </c>
      <c r="L1663" s="40">
        <v>1.0333214244000002</v>
      </c>
    </row>
    <row r="1664" spans="1:12" hidden="1">
      <c r="A1664" s="41" t="s">
        <v>2484</v>
      </c>
      <c r="B1664" s="41"/>
      <c r="C1664" s="41" t="s">
        <v>628</v>
      </c>
      <c r="D1664" s="65">
        <v>4101</v>
      </c>
      <c r="E1664" s="42">
        <v>2.6</v>
      </c>
      <c r="F1664" s="43">
        <v>0.1124069</v>
      </c>
      <c r="G1664" s="42">
        <v>0</v>
      </c>
      <c r="H1664" s="42">
        <v>0</v>
      </c>
      <c r="I1664" s="42">
        <v>0.14862508999999999</v>
      </c>
      <c r="J1664" s="42">
        <v>1.0751711000000001E-2</v>
      </c>
      <c r="K1664" s="42">
        <v>3.2140419000000003E-2</v>
      </c>
      <c r="L1664" s="44">
        <v>0.30392412000000002</v>
      </c>
    </row>
    <row r="1665" spans="1:12" hidden="1">
      <c r="A1665" s="41" t="s">
        <v>2485</v>
      </c>
      <c r="B1665" s="41"/>
      <c r="C1665" s="41" t="s">
        <v>628</v>
      </c>
      <c r="D1665" s="65">
        <v>4102</v>
      </c>
      <c r="E1665" s="42">
        <v>3</v>
      </c>
      <c r="F1665" s="43">
        <v>0.16167177999999999</v>
      </c>
      <c r="G1665" s="42">
        <v>0</v>
      </c>
      <c r="H1665" s="42">
        <v>0.17360792999999999</v>
      </c>
      <c r="I1665" s="42">
        <v>0.23080611000000001</v>
      </c>
      <c r="J1665" s="42">
        <v>1.5463893000000001E-2</v>
      </c>
      <c r="K1665" s="42">
        <v>0.12807962000000001</v>
      </c>
      <c r="L1665" s="44">
        <v>0.70962933300000008</v>
      </c>
    </row>
    <row r="1666" spans="1:12" hidden="1">
      <c r="A1666" s="41" t="s">
        <v>2486</v>
      </c>
      <c r="B1666" s="41"/>
      <c r="C1666" s="41" t="s">
        <v>628</v>
      </c>
      <c r="D1666" s="65">
        <v>4103</v>
      </c>
      <c r="E1666" s="42">
        <v>2.96</v>
      </c>
      <c r="F1666" s="43">
        <v>0.45079727000000003</v>
      </c>
      <c r="G1666" s="42">
        <v>0.19973161</v>
      </c>
      <c r="H1666" s="42">
        <v>0.10402936</v>
      </c>
      <c r="I1666" s="42">
        <v>0.14250198</v>
      </c>
      <c r="J1666" s="42">
        <v>5.6096959000000004E-3</v>
      </c>
      <c r="K1666" s="42">
        <v>1.1022624E-2</v>
      </c>
      <c r="L1666" s="44">
        <v>0.91369253989999999</v>
      </c>
    </row>
    <row r="1667" spans="1:12" hidden="1">
      <c r="A1667" s="37" t="s">
        <v>2487</v>
      </c>
      <c r="B1667" s="37"/>
      <c r="C1667" s="37" t="s">
        <v>818</v>
      </c>
      <c r="D1667" s="64">
        <v>37001</v>
      </c>
      <c r="E1667" s="38">
        <v>1.95</v>
      </c>
      <c r="F1667" s="39">
        <v>0.36224146000000002</v>
      </c>
      <c r="G1667" s="38">
        <v>0.17060359</v>
      </c>
      <c r="H1667" s="38">
        <v>0.27091094999999998</v>
      </c>
      <c r="I1667" s="38">
        <v>0.19594288000000001</v>
      </c>
      <c r="J1667" s="38">
        <v>3.7768032999999999E-2</v>
      </c>
      <c r="K1667" s="38">
        <v>9.2564276000000001E-2</v>
      </c>
      <c r="L1667" s="40">
        <v>1.1300311890000001</v>
      </c>
    </row>
    <row r="1668" spans="1:12" hidden="1">
      <c r="A1668" s="37" t="s">
        <v>2488</v>
      </c>
      <c r="B1668" s="37"/>
      <c r="C1668" s="37" t="s">
        <v>818</v>
      </c>
      <c r="D1668" s="64">
        <v>96778</v>
      </c>
      <c r="E1668" s="38">
        <v>1.95</v>
      </c>
      <c r="F1668" s="39">
        <v>0.36224146000000002</v>
      </c>
      <c r="G1668" s="38">
        <v>0.17060359</v>
      </c>
      <c r="H1668" s="38">
        <v>0.27091094999999998</v>
      </c>
      <c r="I1668" s="38">
        <v>0.19594288000000001</v>
      </c>
      <c r="J1668" s="38">
        <v>3.7768032999999999E-2</v>
      </c>
      <c r="K1668" s="38">
        <v>9.2564276000000001E-2</v>
      </c>
      <c r="L1668" s="40">
        <v>1.1300311890000001</v>
      </c>
    </row>
    <row r="1669" spans="1:12" hidden="1">
      <c r="A1669" s="41" t="s">
        <v>2489</v>
      </c>
      <c r="B1669" s="41"/>
      <c r="C1669" s="41" t="s">
        <v>818</v>
      </c>
      <c r="D1669" s="65">
        <v>23402</v>
      </c>
      <c r="E1669" s="42">
        <v>1.95</v>
      </c>
      <c r="F1669" s="43">
        <v>0.36224147000000001</v>
      </c>
      <c r="G1669" s="42">
        <v>0.17060359</v>
      </c>
      <c r="H1669" s="42">
        <v>0.27091094999999998</v>
      </c>
      <c r="I1669" s="42">
        <v>0.19594288000000001</v>
      </c>
      <c r="J1669" s="42">
        <v>3.7768032999999999E-2</v>
      </c>
      <c r="K1669" s="42">
        <v>9.2564276000000001E-2</v>
      </c>
      <c r="L1669" s="44">
        <v>1.130031199</v>
      </c>
    </row>
    <row r="1670" spans="1:12" hidden="1">
      <c r="A1670" s="37" t="s">
        <v>2490</v>
      </c>
      <c r="B1670" s="37"/>
      <c r="C1670" s="37" t="s">
        <v>877</v>
      </c>
      <c r="D1670" s="64">
        <v>31032</v>
      </c>
      <c r="E1670" s="38">
        <v>2.54</v>
      </c>
      <c r="F1670" s="39">
        <v>6.8500101000000004</v>
      </c>
      <c r="G1670" s="38">
        <v>0.30526029999999998</v>
      </c>
      <c r="H1670" s="38">
        <v>0.17071537000000001</v>
      </c>
      <c r="I1670" s="38">
        <v>0.22169116</v>
      </c>
      <c r="J1670" s="38">
        <v>1.7263204000000001E-2</v>
      </c>
      <c r="K1670" s="38">
        <v>0</v>
      </c>
      <c r="L1670" s="40">
        <v>7.5649401339999995</v>
      </c>
    </row>
    <row r="1671" spans="1:12" hidden="1">
      <c r="A1671" s="37" t="s">
        <v>2491</v>
      </c>
      <c r="B1671" s="37"/>
      <c r="C1671" s="37" t="s">
        <v>631</v>
      </c>
      <c r="D1671" s="64">
        <v>8201</v>
      </c>
      <c r="E1671" s="38">
        <v>2.78</v>
      </c>
      <c r="F1671" s="39">
        <v>4.1692831000000004</v>
      </c>
      <c r="G1671" s="38">
        <v>0.53501821000000005</v>
      </c>
      <c r="H1671" s="38">
        <v>0.33008385000000001</v>
      </c>
      <c r="I1671" s="38">
        <v>0.12879805999999999</v>
      </c>
      <c r="J1671" s="38">
        <v>1.7263204000000001E-2</v>
      </c>
      <c r="K1671" s="38">
        <v>6.6736979E-3</v>
      </c>
      <c r="L1671" s="40">
        <v>5.1871201219000005</v>
      </c>
    </row>
    <row r="1672" spans="1:12" hidden="1">
      <c r="A1672" s="37" t="s">
        <v>2492</v>
      </c>
      <c r="B1672" s="37"/>
      <c r="C1672" s="37" t="s">
        <v>631</v>
      </c>
      <c r="D1672" s="64">
        <v>8214</v>
      </c>
      <c r="E1672" s="38">
        <v>2.78</v>
      </c>
      <c r="F1672" s="39">
        <v>4.1692831000000004</v>
      </c>
      <c r="G1672" s="38">
        <v>0.53501821000000005</v>
      </c>
      <c r="H1672" s="38">
        <v>0.33008385000000001</v>
      </c>
      <c r="I1672" s="38">
        <v>0.12879805999999999</v>
      </c>
      <c r="J1672" s="38">
        <v>1.7263204000000001E-2</v>
      </c>
      <c r="K1672" s="38">
        <v>6.6736979E-3</v>
      </c>
      <c r="L1672" s="40">
        <v>5.1871201219000005</v>
      </c>
    </row>
    <row r="1673" spans="1:12" hidden="1">
      <c r="A1673" s="41" t="s">
        <v>2493</v>
      </c>
      <c r="B1673" s="41"/>
      <c r="C1673" s="41" t="s">
        <v>818</v>
      </c>
      <c r="D1673" s="65">
        <v>23410</v>
      </c>
      <c r="E1673" s="42">
        <v>2.13</v>
      </c>
      <c r="F1673" s="43">
        <v>2.4894558999999998</v>
      </c>
      <c r="G1673" s="42">
        <v>0.18092200999999999</v>
      </c>
      <c r="H1673" s="42">
        <v>0.27090399999999998</v>
      </c>
      <c r="I1673" s="42">
        <v>0.20455013</v>
      </c>
      <c r="J1673" s="42">
        <v>3.7768032999999999E-2</v>
      </c>
      <c r="K1673" s="42">
        <v>9.2564276000000001E-2</v>
      </c>
      <c r="L1673" s="44">
        <v>3.2761643489999996</v>
      </c>
    </row>
    <row r="1674" spans="1:12" hidden="1">
      <c r="A1674" s="37" t="s">
        <v>2494</v>
      </c>
      <c r="B1674" s="37"/>
      <c r="C1674" s="37" t="s">
        <v>818</v>
      </c>
      <c r="D1674" s="64">
        <v>23412</v>
      </c>
      <c r="E1674" s="38">
        <v>2.13</v>
      </c>
      <c r="F1674" s="39">
        <v>2.4894558999999998</v>
      </c>
      <c r="G1674" s="38">
        <v>0.18092200999999999</v>
      </c>
      <c r="H1674" s="38">
        <v>0.27090399999999998</v>
      </c>
      <c r="I1674" s="38">
        <v>0.20455013</v>
      </c>
      <c r="J1674" s="38">
        <v>3.7768032999999999E-2</v>
      </c>
      <c r="K1674" s="38">
        <v>9.2564276000000001E-2</v>
      </c>
      <c r="L1674" s="40">
        <v>3.2761643489999996</v>
      </c>
    </row>
    <row r="1675" spans="1:12" hidden="1">
      <c r="A1675" s="41" t="s">
        <v>2495</v>
      </c>
      <c r="B1675" s="41"/>
      <c r="C1675" s="41" t="s">
        <v>818</v>
      </c>
      <c r="D1675" s="65">
        <v>23414</v>
      </c>
      <c r="E1675" s="42">
        <v>2.13</v>
      </c>
      <c r="F1675" s="43">
        <v>2.4894558999999998</v>
      </c>
      <c r="G1675" s="42">
        <v>0.18092200999999999</v>
      </c>
      <c r="H1675" s="42">
        <v>0.27090399999999998</v>
      </c>
      <c r="I1675" s="42">
        <v>0.20455013</v>
      </c>
      <c r="J1675" s="42">
        <v>3.7768032999999999E-2</v>
      </c>
      <c r="K1675" s="42">
        <v>9.2564276000000001E-2</v>
      </c>
      <c r="L1675" s="44">
        <v>3.2761643489999996</v>
      </c>
    </row>
    <row r="1676" spans="1:12" hidden="1">
      <c r="A1676" s="41" t="s">
        <v>2496</v>
      </c>
      <c r="B1676" s="41"/>
      <c r="C1676" s="41" t="s">
        <v>818</v>
      </c>
      <c r="D1676" s="65">
        <v>23415</v>
      </c>
      <c r="E1676" s="42">
        <v>2.13</v>
      </c>
      <c r="F1676" s="43">
        <v>2.3792586</v>
      </c>
      <c r="G1676" s="42">
        <v>0.17291339</v>
      </c>
      <c r="H1676" s="42">
        <v>0.26262013000000001</v>
      </c>
      <c r="I1676" s="42">
        <v>0.19752618999999999</v>
      </c>
      <c r="J1676" s="42">
        <v>6.5229756E-2</v>
      </c>
      <c r="K1676" s="42">
        <v>0.11114241</v>
      </c>
      <c r="L1676" s="44">
        <v>3.1886904760000001</v>
      </c>
    </row>
    <row r="1677" spans="1:12" hidden="1">
      <c r="A1677" s="37" t="s">
        <v>2497</v>
      </c>
      <c r="B1677" s="37"/>
      <c r="C1677" s="37" t="s">
        <v>637</v>
      </c>
      <c r="D1677" s="64">
        <v>15201</v>
      </c>
      <c r="E1677" s="38">
        <v>3.19</v>
      </c>
      <c r="F1677" s="39">
        <v>1.4908911</v>
      </c>
      <c r="G1677" s="38">
        <v>0.33255858999999999</v>
      </c>
      <c r="H1677" s="38">
        <v>0.28118162000000002</v>
      </c>
      <c r="I1677" s="38">
        <v>0.23613909</v>
      </c>
      <c r="J1677" s="38">
        <v>2.6210641E-2</v>
      </c>
      <c r="K1677" s="38">
        <v>0</v>
      </c>
      <c r="L1677" s="40">
        <v>2.3669810409999998</v>
      </c>
    </row>
    <row r="1678" spans="1:12" hidden="1">
      <c r="A1678" s="37" t="s">
        <v>2498</v>
      </c>
      <c r="B1678" s="37"/>
      <c r="C1678" s="37" t="s">
        <v>631</v>
      </c>
      <c r="D1678" s="64">
        <v>8305</v>
      </c>
      <c r="E1678" s="38">
        <v>2.78</v>
      </c>
      <c r="F1678" s="39">
        <v>4.1692831000000004</v>
      </c>
      <c r="G1678" s="38">
        <v>0.53501821000000005</v>
      </c>
      <c r="H1678" s="38">
        <v>0.33008385000000001</v>
      </c>
      <c r="I1678" s="38">
        <v>0.12879805999999999</v>
      </c>
      <c r="J1678" s="38">
        <v>1.7263204000000001E-2</v>
      </c>
      <c r="K1678" s="38">
        <v>6.6736979E-3</v>
      </c>
      <c r="L1678" s="40">
        <v>5.1871201219000005</v>
      </c>
    </row>
    <row r="1679" spans="1:12" hidden="1">
      <c r="A1679" s="37" t="s">
        <v>2499</v>
      </c>
      <c r="B1679" s="37"/>
      <c r="C1679" s="37" t="s">
        <v>631</v>
      </c>
      <c r="D1679" s="64">
        <v>8300</v>
      </c>
      <c r="E1679" s="38">
        <v>2.78</v>
      </c>
      <c r="F1679" s="39">
        <v>4.1692831000000004</v>
      </c>
      <c r="G1679" s="38">
        <v>0.53501821000000005</v>
      </c>
      <c r="H1679" s="38">
        <v>0.33008385000000001</v>
      </c>
      <c r="I1679" s="38">
        <v>0.12879805999999999</v>
      </c>
      <c r="J1679" s="38">
        <v>1.7263204000000001E-2</v>
      </c>
      <c r="K1679" s="38">
        <v>6.6736979E-3</v>
      </c>
      <c r="L1679" s="40">
        <v>5.1871201219000005</v>
      </c>
    </row>
    <row r="1680" spans="1:12" hidden="1">
      <c r="A1680" s="41" t="s">
        <v>2500</v>
      </c>
      <c r="B1680" s="41"/>
      <c r="C1680" s="41" t="s">
        <v>631</v>
      </c>
      <c r="D1680" s="65">
        <v>8316</v>
      </c>
      <c r="E1680" s="42">
        <v>2.78</v>
      </c>
      <c r="F1680" s="43">
        <v>4.1692831000000004</v>
      </c>
      <c r="G1680" s="42">
        <v>0.53501821000000005</v>
      </c>
      <c r="H1680" s="42">
        <v>0.33008385000000001</v>
      </c>
      <c r="I1680" s="42">
        <v>0.12879805999999999</v>
      </c>
      <c r="J1680" s="42">
        <v>1.7263204000000001E-2</v>
      </c>
      <c r="K1680" s="42">
        <v>6.6736979E-3</v>
      </c>
      <c r="L1680" s="44">
        <v>5.1871201219000005</v>
      </c>
    </row>
    <row r="1681" spans="1:12" hidden="1">
      <c r="A1681" s="37" t="s">
        <v>2501</v>
      </c>
      <c r="B1681" s="37"/>
      <c r="C1681" s="37" t="s">
        <v>631</v>
      </c>
      <c r="D1681" s="64">
        <v>8326</v>
      </c>
      <c r="E1681" s="38">
        <v>2.78</v>
      </c>
      <c r="F1681" s="39">
        <v>4.1692831000000004</v>
      </c>
      <c r="G1681" s="38">
        <v>0.53501821000000005</v>
      </c>
      <c r="H1681" s="38">
        <v>0.33008385000000001</v>
      </c>
      <c r="I1681" s="38">
        <v>0.12879805999999999</v>
      </c>
      <c r="J1681" s="38">
        <v>1.7263204000000001E-2</v>
      </c>
      <c r="K1681" s="38">
        <v>6.6736979E-3</v>
      </c>
      <c r="L1681" s="40">
        <v>5.1871201219000005</v>
      </c>
    </row>
    <row r="1682" spans="1:12" hidden="1">
      <c r="A1682" s="37" t="s">
        <v>2502</v>
      </c>
      <c r="B1682" s="37"/>
      <c r="C1682" s="37" t="s">
        <v>666</v>
      </c>
      <c r="D1682" s="64">
        <v>31014</v>
      </c>
      <c r="E1682" s="38">
        <v>3.16</v>
      </c>
      <c r="F1682" s="39">
        <v>0.30779626999999998</v>
      </c>
      <c r="G1682" s="38">
        <v>0.24626793999999999</v>
      </c>
      <c r="H1682" s="38">
        <v>0.27079121</v>
      </c>
      <c r="I1682" s="38">
        <v>0.21772642</v>
      </c>
      <c r="J1682" s="38">
        <v>1.7263204000000001E-2</v>
      </c>
      <c r="K1682" s="38">
        <v>0</v>
      </c>
      <c r="L1682" s="40">
        <v>1.059845044</v>
      </c>
    </row>
    <row r="1683" spans="1:12" hidden="1">
      <c r="A1683" s="37" t="s">
        <v>2503</v>
      </c>
      <c r="B1683" s="37"/>
      <c r="C1683" s="37" t="s">
        <v>631</v>
      </c>
      <c r="D1683" s="64">
        <v>8245</v>
      </c>
      <c r="E1683" s="38">
        <v>2.78</v>
      </c>
      <c r="F1683" s="39">
        <v>4.1692831000000004</v>
      </c>
      <c r="G1683" s="38">
        <v>0.53501821000000005</v>
      </c>
      <c r="H1683" s="38">
        <v>0.33008385000000001</v>
      </c>
      <c r="I1683" s="38">
        <v>0.12879805999999999</v>
      </c>
      <c r="J1683" s="38">
        <v>1.7263204000000001E-2</v>
      </c>
      <c r="K1683" s="38">
        <v>6.6736979E-3</v>
      </c>
      <c r="L1683" s="40">
        <v>5.1871201219000005</v>
      </c>
    </row>
    <row r="1684" spans="1:12" hidden="1">
      <c r="A1684" s="41" t="s">
        <v>2504</v>
      </c>
      <c r="B1684" s="41"/>
      <c r="C1684" s="41" t="s">
        <v>631</v>
      </c>
      <c r="D1684" s="65">
        <v>8240</v>
      </c>
      <c r="E1684" s="42">
        <v>2.5</v>
      </c>
      <c r="F1684" s="43">
        <v>4.5564219000000001</v>
      </c>
      <c r="G1684" s="42">
        <v>0.84034198000000004</v>
      </c>
      <c r="H1684" s="42">
        <v>0.26238056999999998</v>
      </c>
      <c r="I1684" s="42">
        <v>0.16834376000000001</v>
      </c>
      <c r="J1684" s="42">
        <v>1.7263204000000001E-2</v>
      </c>
      <c r="K1684" s="42">
        <v>6.6736979E-3</v>
      </c>
      <c r="L1684" s="44">
        <v>5.8514251119000003</v>
      </c>
    </row>
    <row r="1685" spans="1:12" hidden="1">
      <c r="A1685" s="37" t="s">
        <v>2505</v>
      </c>
      <c r="B1685" s="37"/>
      <c r="C1685" s="37" t="s">
        <v>631</v>
      </c>
      <c r="D1685" s="64">
        <v>8391</v>
      </c>
      <c r="E1685" s="38">
        <v>2.3199999999999998</v>
      </c>
      <c r="F1685" s="39">
        <v>11.004382</v>
      </c>
      <c r="G1685" s="38">
        <v>0.73668117</v>
      </c>
      <c r="H1685" s="38">
        <v>0.43102013</v>
      </c>
      <c r="I1685" s="38">
        <v>0.13272450999999999</v>
      </c>
      <c r="J1685" s="38">
        <v>1.7263204000000001E-2</v>
      </c>
      <c r="K1685" s="38">
        <v>6.6736979E-3</v>
      </c>
      <c r="L1685" s="40">
        <v>12.328744711900001</v>
      </c>
    </row>
    <row r="1686" spans="1:12" hidden="1">
      <c r="A1686" s="41" t="s">
        <v>2506</v>
      </c>
      <c r="B1686" s="41"/>
      <c r="C1686" s="41" t="s">
        <v>818</v>
      </c>
      <c r="D1686" s="65">
        <v>23424</v>
      </c>
      <c r="E1686" s="42">
        <v>2.13</v>
      </c>
      <c r="F1686" s="43">
        <v>2.8196656</v>
      </c>
      <c r="G1686" s="42">
        <v>0.17845987999999999</v>
      </c>
      <c r="H1686" s="42">
        <v>0.27087540999999998</v>
      </c>
      <c r="I1686" s="42">
        <v>0.20726615000000001</v>
      </c>
      <c r="J1686" s="42">
        <v>3.7768032999999999E-2</v>
      </c>
      <c r="K1686" s="42">
        <v>9.2564276000000001E-2</v>
      </c>
      <c r="L1686" s="44">
        <v>3.6065993490000001</v>
      </c>
    </row>
    <row r="1687" spans="1:12" hidden="1">
      <c r="A1687" s="41" t="s">
        <v>2507</v>
      </c>
      <c r="B1687" s="41"/>
      <c r="C1687" s="41" t="s">
        <v>818</v>
      </c>
      <c r="D1687" s="65">
        <v>23426</v>
      </c>
      <c r="E1687" s="42">
        <v>2.13</v>
      </c>
      <c r="F1687" s="43">
        <v>2.8196656</v>
      </c>
      <c r="G1687" s="42">
        <v>0.17845987999999999</v>
      </c>
      <c r="H1687" s="42">
        <v>0.27087540999999998</v>
      </c>
      <c r="I1687" s="42">
        <v>0.20726615000000001</v>
      </c>
      <c r="J1687" s="42">
        <v>3.7768032999999999E-2</v>
      </c>
      <c r="K1687" s="42">
        <v>9.2564276000000001E-2</v>
      </c>
      <c r="L1687" s="44">
        <v>3.6065993490000001</v>
      </c>
    </row>
    <row r="1688" spans="1:12" hidden="1">
      <c r="A1688" s="41" t="s">
        <v>2508</v>
      </c>
      <c r="B1688" s="41"/>
      <c r="C1688" s="41" t="s">
        <v>818</v>
      </c>
      <c r="D1688" s="65">
        <v>23425</v>
      </c>
      <c r="E1688" s="42">
        <v>2.13</v>
      </c>
      <c r="F1688" s="43">
        <v>2.6948514000000001</v>
      </c>
      <c r="G1688" s="42">
        <v>0.17056025</v>
      </c>
      <c r="H1688" s="42">
        <v>0.26259280000000002</v>
      </c>
      <c r="I1688" s="42">
        <v>0.20012198</v>
      </c>
      <c r="J1688" s="42">
        <v>6.5229756E-2</v>
      </c>
      <c r="K1688" s="42">
        <v>0.11114241</v>
      </c>
      <c r="L1688" s="44">
        <v>3.5044985959999999</v>
      </c>
    </row>
    <row r="1689" spans="1:12" hidden="1">
      <c r="A1689" s="41" t="s">
        <v>2509</v>
      </c>
      <c r="B1689" s="41"/>
      <c r="C1689" s="41" t="s">
        <v>818</v>
      </c>
      <c r="D1689" s="65">
        <v>23422</v>
      </c>
      <c r="E1689" s="42">
        <v>2.13</v>
      </c>
      <c r="F1689" s="43">
        <v>2.8091708999999998</v>
      </c>
      <c r="G1689" s="42">
        <v>0.17790632000000001</v>
      </c>
      <c r="H1689" s="42">
        <v>0.27087104000000001</v>
      </c>
      <c r="I1689" s="42">
        <v>0.20807418999999999</v>
      </c>
      <c r="J1689" s="42">
        <v>3.7768032999999999E-2</v>
      </c>
      <c r="K1689" s="42">
        <v>9.2564276000000001E-2</v>
      </c>
      <c r="L1689" s="44">
        <v>3.5963547589999996</v>
      </c>
    </row>
    <row r="1690" spans="1:12" hidden="1">
      <c r="A1690" s="41" t="s">
        <v>2510</v>
      </c>
      <c r="B1690" s="41"/>
      <c r="C1690" s="41" t="s">
        <v>818</v>
      </c>
      <c r="D1690" s="65">
        <v>23420</v>
      </c>
      <c r="E1690" s="42">
        <v>2.52</v>
      </c>
      <c r="F1690" s="43">
        <v>2.8196656</v>
      </c>
      <c r="G1690" s="42">
        <v>0.17845987999999999</v>
      </c>
      <c r="H1690" s="42">
        <v>0.27087540999999998</v>
      </c>
      <c r="I1690" s="42">
        <v>0.20726615000000001</v>
      </c>
      <c r="J1690" s="42">
        <v>3.7768032999999999E-2</v>
      </c>
      <c r="K1690" s="42">
        <v>9.2564276000000001E-2</v>
      </c>
      <c r="L1690" s="44">
        <v>3.6065993490000001</v>
      </c>
    </row>
    <row r="1691" spans="1:12" hidden="1">
      <c r="A1691" s="41" t="s">
        <v>2511</v>
      </c>
      <c r="B1691" s="41"/>
      <c r="C1691" s="41" t="s">
        <v>818</v>
      </c>
      <c r="D1691" s="65">
        <v>23421</v>
      </c>
      <c r="E1691" s="42">
        <v>2.13</v>
      </c>
      <c r="F1691" s="43">
        <v>2.6948514000000001</v>
      </c>
      <c r="G1691" s="42">
        <v>0.17056025</v>
      </c>
      <c r="H1691" s="42">
        <v>0.26259280000000002</v>
      </c>
      <c r="I1691" s="42">
        <v>0.20012198</v>
      </c>
      <c r="J1691" s="42">
        <v>6.5229756E-2</v>
      </c>
      <c r="K1691" s="42">
        <v>0.11114241</v>
      </c>
      <c r="L1691" s="44">
        <v>3.5044985959999999</v>
      </c>
    </row>
    <row r="1692" spans="1:12" hidden="1">
      <c r="A1692" s="37" t="s">
        <v>2512</v>
      </c>
      <c r="B1692" s="37"/>
      <c r="C1692" s="37" t="s">
        <v>631</v>
      </c>
      <c r="D1692" s="64">
        <v>8250</v>
      </c>
      <c r="E1692" s="38">
        <v>2.65</v>
      </c>
      <c r="F1692" s="39">
        <v>2.5403920000000002</v>
      </c>
      <c r="G1692" s="38">
        <v>0.25565043999999998</v>
      </c>
      <c r="H1692" s="38">
        <v>0.1795842</v>
      </c>
      <c r="I1692" s="38">
        <v>0.14255369000000001</v>
      </c>
      <c r="J1692" s="38">
        <v>1.7263204000000001E-2</v>
      </c>
      <c r="K1692" s="38">
        <v>6.6736979E-3</v>
      </c>
      <c r="L1692" s="40">
        <v>3.1421172319000004</v>
      </c>
    </row>
    <row r="1693" spans="1:12" hidden="1">
      <c r="A1693" s="37" t="s">
        <v>2513</v>
      </c>
      <c r="B1693" s="37"/>
      <c r="C1693" s="37" t="s">
        <v>631</v>
      </c>
      <c r="D1693" s="64">
        <v>8211</v>
      </c>
      <c r="E1693" s="38">
        <v>2.3199999999999998</v>
      </c>
      <c r="F1693" s="39">
        <v>4.1692831000000004</v>
      </c>
      <c r="G1693" s="38">
        <v>0.53501821000000005</v>
      </c>
      <c r="H1693" s="38">
        <v>0.33008385000000001</v>
      </c>
      <c r="I1693" s="38">
        <v>0.12879805999999999</v>
      </c>
      <c r="J1693" s="38">
        <v>1.7263204000000001E-2</v>
      </c>
      <c r="K1693" s="38">
        <v>6.6736979E-3</v>
      </c>
      <c r="L1693" s="40">
        <v>5.1871201219000005</v>
      </c>
    </row>
    <row r="1694" spans="1:12" hidden="1">
      <c r="A1694" s="37" t="s">
        <v>2514</v>
      </c>
      <c r="B1694" s="37"/>
      <c r="C1694" s="37" t="s">
        <v>818</v>
      </c>
      <c r="D1694" s="64">
        <v>23445</v>
      </c>
      <c r="E1694" s="38">
        <v>2.5499999999999998</v>
      </c>
      <c r="F1694" s="39">
        <v>0.36681112999999999</v>
      </c>
      <c r="G1694" s="38">
        <v>0.56904153000000002</v>
      </c>
      <c r="H1694" s="38">
        <v>0.27087877999999999</v>
      </c>
      <c r="I1694" s="38">
        <v>0.25321612999999998</v>
      </c>
      <c r="J1694" s="38">
        <v>3.7768032999999999E-2</v>
      </c>
      <c r="K1694" s="38">
        <v>9.2564276000000001E-2</v>
      </c>
      <c r="L1694" s="40">
        <v>1.5902798790000001</v>
      </c>
    </row>
    <row r="1695" spans="1:12" hidden="1">
      <c r="A1695" s="41" t="s">
        <v>2515</v>
      </c>
      <c r="B1695" s="41"/>
      <c r="C1695" s="41" t="s">
        <v>818</v>
      </c>
      <c r="D1695" s="65">
        <v>23444</v>
      </c>
      <c r="E1695" s="42">
        <v>2.13</v>
      </c>
      <c r="F1695" s="43">
        <v>2.3975650000000002</v>
      </c>
      <c r="G1695" s="42">
        <v>0.21188367</v>
      </c>
      <c r="H1695" s="42">
        <v>0.27089029999999997</v>
      </c>
      <c r="I1695" s="42">
        <v>0.20807966</v>
      </c>
      <c r="J1695" s="42">
        <v>3.7768032999999999E-2</v>
      </c>
      <c r="K1695" s="42">
        <v>9.2564276000000001E-2</v>
      </c>
      <c r="L1695" s="44">
        <v>3.2187509390000004</v>
      </c>
    </row>
    <row r="1696" spans="1:12" hidden="1">
      <c r="A1696" s="41" t="s">
        <v>2516</v>
      </c>
      <c r="B1696" s="41"/>
      <c r="C1696" s="41" t="s">
        <v>818</v>
      </c>
      <c r="D1696" s="65">
        <v>23448</v>
      </c>
      <c r="E1696" s="42">
        <v>2.13</v>
      </c>
      <c r="F1696" s="43">
        <v>2.3975650000000002</v>
      </c>
      <c r="G1696" s="42">
        <v>0.21188367</v>
      </c>
      <c r="H1696" s="42">
        <v>0.27089029999999997</v>
      </c>
      <c r="I1696" s="42">
        <v>0.20807966</v>
      </c>
      <c r="J1696" s="42">
        <v>3.7768032999999999E-2</v>
      </c>
      <c r="K1696" s="42">
        <v>9.2564276000000001E-2</v>
      </c>
      <c r="L1696" s="44">
        <v>3.2187509390000004</v>
      </c>
    </row>
    <row r="1697" spans="1:12" hidden="1">
      <c r="A1697" s="41" t="s">
        <v>2517</v>
      </c>
      <c r="B1697" s="41"/>
      <c r="C1697" s="41" t="s">
        <v>818</v>
      </c>
      <c r="D1697" s="65">
        <v>23446</v>
      </c>
      <c r="E1697" s="42">
        <v>2.13</v>
      </c>
      <c r="F1697" s="43">
        <v>2.2914354000000001</v>
      </c>
      <c r="G1697" s="42">
        <v>0.20250451</v>
      </c>
      <c r="H1697" s="42">
        <v>0.26260704000000001</v>
      </c>
      <c r="I1697" s="42">
        <v>0.20089947999999999</v>
      </c>
      <c r="J1697" s="42">
        <v>6.5229756E-2</v>
      </c>
      <c r="K1697" s="42">
        <v>0.11114241</v>
      </c>
      <c r="L1697" s="44">
        <v>3.1338185959999993</v>
      </c>
    </row>
    <row r="1698" spans="1:12" hidden="1">
      <c r="A1698" s="41" t="s">
        <v>2518</v>
      </c>
      <c r="B1698" s="41"/>
      <c r="C1698" s="41" t="s">
        <v>818</v>
      </c>
      <c r="D1698" s="65">
        <v>23440</v>
      </c>
      <c r="E1698" s="42">
        <v>2.13</v>
      </c>
      <c r="F1698" s="43">
        <v>2.3975650000000002</v>
      </c>
      <c r="G1698" s="42">
        <v>0.21188367</v>
      </c>
      <c r="H1698" s="42">
        <v>0.27089029999999997</v>
      </c>
      <c r="I1698" s="42">
        <v>0.20807966</v>
      </c>
      <c r="J1698" s="42">
        <v>3.7768032999999999E-2</v>
      </c>
      <c r="K1698" s="42">
        <v>9.2564276000000001E-2</v>
      </c>
      <c r="L1698" s="44">
        <v>3.2187509390000004</v>
      </c>
    </row>
    <row r="1699" spans="1:12" hidden="1">
      <c r="A1699" s="41" t="s">
        <v>2519</v>
      </c>
      <c r="B1699" s="41"/>
      <c r="C1699" s="41" t="s">
        <v>818</v>
      </c>
      <c r="D1699" s="65">
        <v>23442</v>
      </c>
      <c r="E1699" s="42">
        <v>2.13</v>
      </c>
      <c r="F1699" s="43">
        <v>2.3975650000000002</v>
      </c>
      <c r="G1699" s="42">
        <v>0.21188367</v>
      </c>
      <c r="H1699" s="42">
        <v>0.27089029999999997</v>
      </c>
      <c r="I1699" s="42">
        <v>0.20807966</v>
      </c>
      <c r="J1699" s="42">
        <v>3.7768032999999999E-2</v>
      </c>
      <c r="K1699" s="42">
        <v>9.2564276000000001E-2</v>
      </c>
      <c r="L1699" s="44">
        <v>3.2187509390000004</v>
      </c>
    </row>
    <row r="1700" spans="1:12" hidden="1">
      <c r="A1700" s="37" t="s">
        <v>2520</v>
      </c>
      <c r="B1700" s="37"/>
      <c r="C1700" s="37" t="s">
        <v>811</v>
      </c>
      <c r="D1700" s="64">
        <v>25085</v>
      </c>
      <c r="E1700" s="38">
        <v>1.2</v>
      </c>
      <c r="F1700" s="39">
        <v>4.2936823999999998</v>
      </c>
      <c r="G1700" s="38">
        <v>0.52946857999999997</v>
      </c>
      <c r="H1700" s="38">
        <v>0.21862217</v>
      </c>
      <c r="I1700" s="38">
        <v>0.30137891</v>
      </c>
      <c r="J1700" s="38">
        <v>6.6893595E-2</v>
      </c>
      <c r="K1700" s="38">
        <v>1.9814956000000002E-2</v>
      </c>
      <c r="L1700" s="40">
        <v>5.4298606109999996</v>
      </c>
    </row>
    <row r="1701" spans="1:12" hidden="1">
      <c r="A1701" s="37" t="s">
        <v>2521</v>
      </c>
      <c r="B1701" s="37"/>
      <c r="C1701" s="37" t="s">
        <v>811</v>
      </c>
      <c r="D1701" s="64">
        <v>25135</v>
      </c>
      <c r="E1701" s="38">
        <v>2.4300000000000002</v>
      </c>
      <c r="F1701" s="39">
        <v>1.6053147999999999</v>
      </c>
      <c r="G1701" s="38">
        <v>0.64802581000000004</v>
      </c>
      <c r="H1701" s="38">
        <v>0.18194642</v>
      </c>
      <c r="I1701" s="38">
        <v>0.24118012</v>
      </c>
      <c r="J1701" s="38">
        <v>2.6628465E-2</v>
      </c>
      <c r="K1701" s="38">
        <v>1.7696322E-2</v>
      </c>
      <c r="L1701" s="40">
        <v>2.720791937</v>
      </c>
    </row>
    <row r="1702" spans="1:12" hidden="1">
      <c r="A1702" s="37" t="s">
        <v>2522</v>
      </c>
      <c r="B1702" s="37"/>
      <c r="C1702" s="37" t="s">
        <v>811</v>
      </c>
      <c r="D1702" s="64">
        <v>25198</v>
      </c>
      <c r="E1702" s="38">
        <v>2.2000000000000002</v>
      </c>
      <c r="F1702" s="39">
        <v>2.2540008999999999</v>
      </c>
      <c r="G1702" s="38">
        <v>0.25624460999999998</v>
      </c>
      <c r="H1702" s="38">
        <v>0.18201954000000001</v>
      </c>
      <c r="I1702" s="38">
        <v>0.20109792000000001</v>
      </c>
      <c r="J1702" s="38">
        <v>2.5898638000000002E-2</v>
      </c>
      <c r="K1702" s="38">
        <v>1.7696322E-2</v>
      </c>
      <c r="L1702" s="40">
        <v>2.9369579300000002</v>
      </c>
    </row>
    <row r="1703" spans="1:12" hidden="1">
      <c r="A1703" s="37" t="s">
        <v>2523</v>
      </c>
      <c r="B1703" s="37"/>
      <c r="C1703" s="37" t="s">
        <v>811</v>
      </c>
      <c r="D1703" s="64">
        <v>25203</v>
      </c>
      <c r="E1703" s="38">
        <v>3.09</v>
      </c>
      <c r="F1703" s="39">
        <v>1.4123254000000001</v>
      </c>
      <c r="G1703" s="38">
        <v>0.24563988</v>
      </c>
      <c r="H1703" s="38">
        <v>0.26505821000000002</v>
      </c>
      <c r="I1703" s="38">
        <v>0.21168983999999999</v>
      </c>
      <c r="J1703" s="38">
        <v>2.6628465E-2</v>
      </c>
      <c r="K1703" s="38">
        <v>1.7696322E-2</v>
      </c>
      <c r="L1703" s="40">
        <v>2.1790381169999997</v>
      </c>
    </row>
    <row r="1704" spans="1:12" hidden="1">
      <c r="A1704" s="37" t="s">
        <v>2524</v>
      </c>
      <c r="B1704" s="37"/>
      <c r="C1704" s="37" t="s">
        <v>811</v>
      </c>
      <c r="D1704" s="64">
        <v>25157</v>
      </c>
      <c r="E1704" s="38">
        <v>1.97</v>
      </c>
      <c r="F1704" s="39">
        <v>13.044174</v>
      </c>
      <c r="G1704" s="38">
        <v>0.28959316000000002</v>
      </c>
      <c r="H1704" s="38">
        <v>0.26505821000000002</v>
      </c>
      <c r="I1704" s="38">
        <v>0.20352134999999999</v>
      </c>
      <c r="J1704" s="38">
        <v>2.6628465E-2</v>
      </c>
      <c r="K1704" s="38">
        <v>1.7696322E-2</v>
      </c>
      <c r="L1704" s="40">
        <v>13.846671507000002</v>
      </c>
    </row>
    <row r="1705" spans="1:12" hidden="1">
      <c r="A1705" s="37" t="s">
        <v>2525</v>
      </c>
      <c r="B1705" s="37"/>
      <c r="C1705" s="37" t="s">
        <v>811</v>
      </c>
      <c r="D1705" s="64">
        <v>25158</v>
      </c>
      <c r="E1705" s="38">
        <v>1.97</v>
      </c>
      <c r="F1705" s="39">
        <v>13.044174</v>
      </c>
      <c r="G1705" s="38">
        <v>0.28959316000000002</v>
      </c>
      <c r="H1705" s="38">
        <v>0.26505821000000002</v>
      </c>
      <c r="I1705" s="38">
        <v>0.20352134999999999</v>
      </c>
      <c r="J1705" s="38">
        <v>2.6628465E-2</v>
      </c>
      <c r="K1705" s="38">
        <v>1.7696322E-2</v>
      </c>
      <c r="L1705" s="40">
        <v>13.846671507000002</v>
      </c>
    </row>
    <row r="1706" spans="1:12" hidden="1">
      <c r="A1706" s="37" t="s">
        <v>2526</v>
      </c>
      <c r="B1706" s="37"/>
      <c r="C1706" s="37" t="s">
        <v>811</v>
      </c>
      <c r="D1706" s="64">
        <v>25182</v>
      </c>
      <c r="E1706" s="38">
        <v>2.2000000000000002</v>
      </c>
      <c r="F1706" s="39">
        <v>2.2540008999999999</v>
      </c>
      <c r="G1706" s="38">
        <v>0.25624460999999998</v>
      </c>
      <c r="H1706" s="38">
        <v>0.26506647999999999</v>
      </c>
      <c r="I1706" s="38">
        <v>0.20109792000000001</v>
      </c>
      <c r="J1706" s="38">
        <v>2.6628465E-2</v>
      </c>
      <c r="K1706" s="38">
        <v>1.7696322E-2</v>
      </c>
      <c r="L1706" s="40">
        <v>3.0207346969999995</v>
      </c>
    </row>
    <row r="1707" spans="1:12" hidden="1">
      <c r="A1707" s="37" t="s">
        <v>2527</v>
      </c>
      <c r="B1707" s="37"/>
      <c r="C1707" s="37" t="s">
        <v>811</v>
      </c>
      <c r="D1707" s="64">
        <v>25155</v>
      </c>
      <c r="E1707" s="38">
        <v>2.2000000000000002</v>
      </c>
      <c r="F1707" s="39">
        <v>2.2540008999999999</v>
      </c>
      <c r="G1707" s="38">
        <v>0.25624460999999998</v>
      </c>
      <c r="H1707" s="38">
        <v>0.26506647999999999</v>
      </c>
      <c r="I1707" s="38">
        <v>0.20109792000000001</v>
      </c>
      <c r="J1707" s="38">
        <v>2.6628465E-2</v>
      </c>
      <c r="K1707" s="38">
        <v>1.7696322E-2</v>
      </c>
      <c r="L1707" s="40">
        <v>3.0207346969999995</v>
      </c>
    </row>
    <row r="1708" spans="1:12" hidden="1">
      <c r="A1708" s="37" t="s">
        <v>2528</v>
      </c>
      <c r="B1708" s="37"/>
      <c r="C1708" s="37" t="s">
        <v>811</v>
      </c>
      <c r="D1708" s="64">
        <v>25193</v>
      </c>
      <c r="E1708" s="38">
        <v>3.09</v>
      </c>
      <c r="F1708" s="39">
        <v>1.4123254000000001</v>
      </c>
      <c r="G1708" s="38">
        <v>0.24563988</v>
      </c>
      <c r="H1708" s="38">
        <v>0.26505821000000002</v>
      </c>
      <c r="I1708" s="38">
        <v>0.21168983999999999</v>
      </c>
      <c r="J1708" s="38">
        <v>2.6628465E-2</v>
      </c>
      <c r="K1708" s="38">
        <v>1.7696322E-2</v>
      </c>
      <c r="L1708" s="40">
        <v>2.1790381169999997</v>
      </c>
    </row>
    <row r="1709" spans="1:12" hidden="1">
      <c r="A1709" s="37" t="s">
        <v>2529</v>
      </c>
      <c r="B1709" s="37"/>
      <c r="C1709" s="37" t="s">
        <v>811</v>
      </c>
      <c r="D1709" s="64">
        <v>25181</v>
      </c>
      <c r="E1709" s="38">
        <v>1.81</v>
      </c>
      <c r="F1709" s="39">
        <v>2.2540008999999999</v>
      </c>
      <c r="G1709" s="38">
        <v>0.25624460999999998</v>
      </c>
      <c r="H1709" s="38">
        <v>0.26506647999999999</v>
      </c>
      <c r="I1709" s="38">
        <v>0.20109792000000001</v>
      </c>
      <c r="J1709" s="38">
        <v>2.6628465E-2</v>
      </c>
      <c r="K1709" s="38">
        <v>1.7696322E-2</v>
      </c>
      <c r="L1709" s="40">
        <v>3.0207346969999995</v>
      </c>
    </row>
    <row r="1710" spans="1:12" hidden="1">
      <c r="A1710" s="37" t="s">
        <v>2530</v>
      </c>
      <c r="B1710" s="37"/>
      <c r="C1710" s="37" t="s">
        <v>811</v>
      </c>
      <c r="D1710" s="64">
        <v>25149</v>
      </c>
      <c r="E1710" s="38">
        <v>1.81</v>
      </c>
      <c r="F1710" s="39">
        <v>2.2540008999999999</v>
      </c>
      <c r="G1710" s="38">
        <v>0.25624460999999998</v>
      </c>
      <c r="H1710" s="38">
        <v>0.26506647999999999</v>
      </c>
      <c r="I1710" s="38">
        <v>0.20109792000000001</v>
      </c>
      <c r="J1710" s="38">
        <v>2.6628465E-2</v>
      </c>
      <c r="K1710" s="38">
        <v>1.7696322E-2</v>
      </c>
      <c r="L1710" s="40">
        <v>3.0207346969999995</v>
      </c>
    </row>
    <row r="1711" spans="1:12" hidden="1">
      <c r="A1711" s="37" t="s">
        <v>2531</v>
      </c>
      <c r="B1711" s="37"/>
      <c r="C1711" s="37" t="s">
        <v>816</v>
      </c>
      <c r="D1711" s="64">
        <v>9815</v>
      </c>
      <c r="E1711" s="38">
        <v>2.2200000000000002</v>
      </c>
      <c r="F1711" s="39">
        <v>1.0283088</v>
      </c>
      <c r="G1711" s="38">
        <v>0.12456034000000001</v>
      </c>
      <c r="H1711" s="38">
        <v>0.27085812999999997</v>
      </c>
      <c r="I1711" s="38">
        <v>0.11645034</v>
      </c>
      <c r="J1711" s="38">
        <v>2.9337966E-2</v>
      </c>
      <c r="K1711" s="38">
        <v>0</v>
      </c>
      <c r="L1711" s="40">
        <v>1.5695155759999999</v>
      </c>
    </row>
    <row r="1712" spans="1:12" hidden="1">
      <c r="A1712" s="37" t="s">
        <v>2532</v>
      </c>
      <c r="B1712" s="37"/>
      <c r="C1712" s="37" t="s">
        <v>816</v>
      </c>
      <c r="D1712" s="64">
        <v>9816</v>
      </c>
      <c r="E1712" s="38">
        <v>2.2200000000000002</v>
      </c>
      <c r="F1712" s="39">
        <v>1.0283088</v>
      </c>
      <c r="G1712" s="38">
        <v>0.26971993999999999</v>
      </c>
      <c r="H1712" s="38">
        <v>0.27085812999999997</v>
      </c>
      <c r="I1712" s="38">
        <v>0.11645034</v>
      </c>
      <c r="J1712" s="38">
        <v>2.9337966E-2</v>
      </c>
      <c r="K1712" s="38">
        <v>1.1022624E-2</v>
      </c>
      <c r="L1712" s="40">
        <v>1.7256977999999998</v>
      </c>
    </row>
    <row r="1713" spans="1:12" hidden="1">
      <c r="A1713" s="37" t="s">
        <v>2533</v>
      </c>
      <c r="B1713" s="37"/>
      <c r="C1713" s="37" t="s">
        <v>816</v>
      </c>
      <c r="D1713" s="64">
        <v>9810</v>
      </c>
      <c r="E1713" s="38">
        <v>2.88</v>
      </c>
      <c r="F1713" s="39">
        <v>0.74798688000000002</v>
      </c>
      <c r="G1713" s="38">
        <v>0.95677951000000006</v>
      </c>
      <c r="H1713" s="38">
        <v>0.28118162000000002</v>
      </c>
      <c r="I1713" s="38">
        <v>0.13950709999999999</v>
      </c>
      <c r="J1713" s="38">
        <v>1.9438334000000002E-2</v>
      </c>
      <c r="K1713" s="38">
        <v>0</v>
      </c>
      <c r="L1713" s="40">
        <v>2.144893444</v>
      </c>
    </row>
    <row r="1714" spans="1:12" hidden="1">
      <c r="A1714" s="37" t="s">
        <v>2534</v>
      </c>
      <c r="B1714" s="37"/>
      <c r="C1714" s="37" t="s">
        <v>816</v>
      </c>
      <c r="D1714" s="64">
        <v>9811</v>
      </c>
      <c r="E1714" s="38">
        <v>2.88</v>
      </c>
      <c r="F1714" s="39">
        <v>0.33108414000000003</v>
      </c>
      <c r="G1714" s="38">
        <v>0.42350278000000002</v>
      </c>
      <c r="H1714" s="38">
        <v>8.4924810000000003E-2</v>
      </c>
      <c r="I1714" s="38">
        <v>6.1750533000000003E-2</v>
      </c>
      <c r="J1714" s="38">
        <v>8.6040601999999994E-3</v>
      </c>
      <c r="K1714" s="38">
        <v>0.13779105</v>
      </c>
      <c r="L1714" s="40">
        <v>1.0476573732000001</v>
      </c>
    </row>
    <row r="1715" spans="1:12" hidden="1">
      <c r="A1715" s="37" t="s">
        <v>2535</v>
      </c>
      <c r="B1715" s="37"/>
      <c r="C1715" s="37" t="s">
        <v>816</v>
      </c>
      <c r="D1715" s="64">
        <v>9870</v>
      </c>
      <c r="E1715" s="38">
        <v>2.88</v>
      </c>
      <c r="F1715" s="39">
        <v>0.70861914999999998</v>
      </c>
      <c r="G1715" s="38">
        <v>0.90642270000000003</v>
      </c>
      <c r="H1715" s="38">
        <v>0.27079121</v>
      </c>
      <c r="I1715" s="38">
        <v>0.13351109</v>
      </c>
      <c r="J1715" s="38">
        <v>1.7263621E-2</v>
      </c>
      <c r="K1715" s="38">
        <v>0</v>
      </c>
      <c r="L1715" s="40">
        <v>2.0366077709999999</v>
      </c>
    </row>
    <row r="1716" spans="1:12" hidden="1">
      <c r="A1716" s="37" t="s">
        <v>2536</v>
      </c>
      <c r="B1716" s="37"/>
      <c r="C1716" s="37" t="s">
        <v>816</v>
      </c>
      <c r="D1716" s="64">
        <v>9871</v>
      </c>
      <c r="E1716" s="38">
        <v>2.88</v>
      </c>
      <c r="F1716" s="39">
        <v>0.33108414000000003</v>
      </c>
      <c r="G1716" s="38">
        <v>0.42350278000000002</v>
      </c>
      <c r="H1716" s="38">
        <v>8.4924810000000003E-2</v>
      </c>
      <c r="I1716" s="38">
        <v>6.1750533000000003E-2</v>
      </c>
      <c r="J1716" s="38">
        <v>7.7591316E-3</v>
      </c>
      <c r="K1716" s="38">
        <v>0.13779105</v>
      </c>
      <c r="L1716" s="40">
        <v>1.0468124446</v>
      </c>
    </row>
    <row r="1717" spans="1:12" hidden="1">
      <c r="A1717" s="37" t="s">
        <v>2537</v>
      </c>
      <c r="B1717" s="37"/>
      <c r="C1717" s="37" t="s">
        <v>816</v>
      </c>
      <c r="D1717" s="64">
        <v>9821</v>
      </c>
      <c r="E1717" s="38">
        <v>2.88</v>
      </c>
      <c r="F1717" s="39">
        <v>0.70861914999999998</v>
      </c>
      <c r="G1717" s="38">
        <v>0.90642270000000003</v>
      </c>
      <c r="H1717" s="38">
        <v>0.27079121</v>
      </c>
      <c r="I1717" s="38">
        <v>0.13351109</v>
      </c>
      <c r="J1717" s="38">
        <v>1.7263621E-2</v>
      </c>
      <c r="K1717" s="38">
        <v>0</v>
      </c>
      <c r="L1717" s="40">
        <v>2.0366077709999999</v>
      </c>
    </row>
    <row r="1718" spans="1:12" hidden="1">
      <c r="A1718" s="37" t="s">
        <v>2538</v>
      </c>
      <c r="B1718" s="37"/>
      <c r="C1718" s="37" t="s">
        <v>816</v>
      </c>
      <c r="D1718" s="64">
        <v>9822</v>
      </c>
      <c r="E1718" s="38">
        <v>2.2200000000000002</v>
      </c>
      <c r="F1718" s="39">
        <v>1.0283088</v>
      </c>
      <c r="G1718" s="38">
        <v>0.26971993999999999</v>
      </c>
      <c r="H1718" s="38">
        <v>0.18556481</v>
      </c>
      <c r="I1718" s="38">
        <v>0.11645034</v>
      </c>
      <c r="J1718" s="38">
        <v>2.9337966E-2</v>
      </c>
      <c r="K1718" s="38">
        <v>1.1022624E-2</v>
      </c>
      <c r="L1718" s="40">
        <v>1.6404044799999999</v>
      </c>
    </row>
    <row r="1719" spans="1:12" hidden="1">
      <c r="A1719" s="37" t="s">
        <v>2539</v>
      </c>
      <c r="B1719" s="37"/>
      <c r="C1719" s="37" t="s">
        <v>816</v>
      </c>
      <c r="D1719" s="64">
        <v>9874</v>
      </c>
      <c r="E1719" s="38">
        <v>1.93</v>
      </c>
      <c r="F1719" s="39">
        <v>0.64124221000000003</v>
      </c>
      <c r="G1719" s="38">
        <v>0.30284759</v>
      </c>
      <c r="H1719" s="38">
        <v>0.28118162000000002</v>
      </c>
      <c r="I1719" s="38">
        <v>0.30980336000000003</v>
      </c>
      <c r="J1719" s="38">
        <v>1.9438334000000002E-2</v>
      </c>
      <c r="K1719" s="38">
        <v>0</v>
      </c>
      <c r="L1719" s="40">
        <v>1.5545131139999999</v>
      </c>
    </row>
    <row r="1720" spans="1:12" hidden="1">
      <c r="A1720" s="37" t="s">
        <v>2540</v>
      </c>
      <c r="B1720" s="37"/>
      <c r="C1720" s="37" t="s">
        <v>816</v>
      </c>
      <c r="D1720" s="64">
        <v>9824</v>
      </c>
      <c r="E1720" s="38">
        <v>2.88</v>
      </c>
      <c r="F1720" s="39">
        <v>0.28383535999999998</v>
      </c>
      <c r="G1720" s="38">
        <v>0.13405053</v>
      </c>
      <c r="H1720" s="38">
        <v>8.4924810000000003E-2</v>
      </c>
      <c r="I1720" s="38">
        <v>0.13712938</v>
      </c>
      <c r="J1720" s="38">
        <v>8.6038655000000002E-3</v>
      </c>
      <c r="K1720" s="38">
        <v>0.13779105</v>
      </c>
      <c r="L1720" s="40">
        <v>0.78633499549999997</v>
      </c>
    </row>
    <row r="1721" spans="1:12" hidden="1">
      <c r="A1721" s="41" t="s">
        <v>2541</v>
      </c>
      <c r="B1721" s="41"/>
      <c r="C1721" s="41" t="s">
        <v>811</v>
      </c>
      <c r="D1721" s="65">
        <v>25125</v>
      </c>
      <c r="E1721" s="42">
        <v>2.56</v>
      </c>
      <c r="F1721" s="43">
        <v>16.267948000000001</v>
      </c>
      <c r="G1721" s="42">
        <v>0.34502217000000002</v>
      </c>
      <c r="H1721" s="42">
        <v>0.22801727999999999</v>
      </c>
      <c r="I1721" s="42">
        <v>0.21288713000000001</v>
      </c>
      <c r="J1721" s="42">
        <v>3.7768032999999999E-2</v>
      </c>
      <c r="K1721" s="42">
        <v>9.2564276000000001E-2</v>
      </c>
      <c r="L1721" s="44">
        <v>17.184206888999999</v>
      </c>
    </row>
    <row r="1722" spans="1:12" hidden="1">
      <c r="A1722" s="41" t="s">
        <v>2542</v>
      </c>
      <c r="B1722" s="41"/>
      <c r="C1722" s="41" t="s">
        <v>811</v>
      </c>
      <c r="D1722" s="65">
        <v>25213</v>
      </c>
      <c r="E1722" s="42">
        <v>2.56</v>
      </c>
      <c r="F1722" s="43">
        <v>16.267948000000001</v>
      </c>
      <c r="G1722" s="42">
        <v>0.34502217000000002</v>
      </c>
      <c r="H1722" s="42">
        <v>0.22801727999999999</v>
      </c>
      <c r="I1722" s="42">
        <v>0.21288713000000001</v>
      </c>
      <c r="J1722" s="42">
        <v>3.7768032999999999E-2</v>
      </c>
      <c r="K1722" s="42">
        <v>9.2564276000000001E-2</v>
      </c>
      <c r="L1722" s="44">
        <v>17.184206888999999</v>
      </c>
    </row>
    <row r="1723" spans="1:12" hidden="1">
      <c r="A1723" s="41" t="s">
        <v>2543</v>
      </c>
      <c r="B1723" s="41"/>
      <c r="C1723" s="41" t="s">
        <v>811</v>
      </c>
      <c r="D1723" s="65">
        <v>25126</v>
      </c>
      <c r="E1723" s="42">
        <v>3.42</v>
      </c>
      <c r="F1723" s="43">
        <v>5.7453265</v>
      </c>
      <c r="G1723" s="42">
        <v>1.0123131999999999</v>
      </c>
      <c r="H1723" s="42">
        <v>0.29503058999999998</v>
      </c>
      <c r="I1723" s="42">
        <v>0.26441237000000001</v>
      </c>
      <c r="J1723" s="42">
        <v>3.7768032999999999E-2</v>
      </c>
      <c r="K1723" s="42">
        <v>1.7696322E-2</v>
      </c>
      <c r="L1723" s="44">
        <v>7.3725470149999994</v>
      </c>
    </row>
    <row r="1724" spans="1:12" hidden="1">
      <c r="A1724" s="37" t="s">
        <v>2544</v>
      </c>
      <c r="B1724" s="37"/>
      <c r="C1724" s="37" t="s">
        <v>1199</v>
      </c>
      <c r="D1724" s="64">
        <v>11061</v>
      </c>
      <c r="E1724" s="38">
        <v>3.75</v>
      </c>
      <c r="F1724" s="39">
        <v>1.1588391</v>
      </c>
      <c r="G1724" s="38">
        <v>0</v>
      </c>
      <c r="H1724" s="38">
        <v>0.47782284000000003</v>
      </c>
      <c r="I1724" s="38">
        <v>0.17533074000000001</v>
      </c>
      <c r="J1724" s="38">
        <v>1.5675970000000001E-2</v>
      </c>
      <c r="K1724" s="38">
        <v>0</v>
      </c>
      <c r="L1724" s="40">
        <v>1.8276686499999999</v>
      </c>
    </row>
    <row r="1725" spans="1:12" hidden="1">
      <c r="A1725" s="37" t="s">
        <v>2545</v>
      </c>
      <c r="B1725" s="37"/>
      <c r="C1725" s="37" t="s">
        <v>634</v>
      </c>
      <c r="D1725" s="64">
        <v>13730</v>
      </c>
      <c r="E1725" s="38">
        <v>2.5499999999999998</v>
      </c>
      <c r="F1725" s="39">
        <v>0.22234996000000001</v>
      </c>
      <c r="G1725" s="38">
        <v>0.41825182</v>
      </c>
      <c r="H1725" s="38">
        <v>0.30558312999999998</v>
      </c>
      <c r="I1725" s="38">
        <v>0.24350874</v>
      </c>
      <c r="J1725" s="38">
        <v>2.8144689000000001E-2</v>
      </c>
      <c r="K1725" s="38">
        <v>0</v>
      </c>
      <c r="L1725" s="40">
        <v>1.217838339</v>
      </c>
    </row>
    <row r="1726" spans="1:12" hidden="1">
      <c r="A1726" s="37" t="s">
        <v>2546</v>
      </c>
      <c r="B1726" s="37"/>
      <c r="C1726" s="37" t="s">
        <v>634</v>
      </c>
      <c r="D1726" s="64">
        <v>13731</v>
      </c>
      <c r="E1726" s="38">
        <v>2.5499999999999998</v>
      </c>
      <c r="F1726" s="39">
        <v>0.12491571</v>
      </c>
      <c r="G1726" s="38">
        <v>0.23497293</v>
      </c>
      <c r="H1726" s="38">
        <v>0.17146364</v>
      </c>
      <c r="I1726" s="38">
        <v>0.13680223</v>
      </c>
      <c r="J1726" s="38">
        <v>1.5811623E-2</v>
      </c>
      <c r="K1726" s="38">
        <v>0</v>
      </c>
      <c r="L1726" s="40">
        <v>0.68396613300000009</v>
      </c>
    </row>
    <row r="1727" spans="1:12" hidden="1">
      <c r="A1727" s="37" t="s">
        <v>2547</v>
      </c>
      <c r="B1727" s="37"/>
      <c r="C1727" s="37" t="s">
        <v>1151</v>
      </c>
      <c r="D1727" s="64">
        <v>39401</v>
      </c>
      <c r="E1727" s="38">
        <v>3.48</v>
      </c>
      <c r="F1727" s="39">
        <v>1.2830794000000001</v>
      </c>
      <c r="G1727" s="38">
        <v>0.33328704999999997</v>
      </c>
      <c r="H1727" s="38">
        <v>0.18042667000000001</v>
      </c>
      <c r="I1727" s="38">
        <v>0.19059038</v>
      </c>
      <c r="J1727" s="38">
        <v>6.5229756E-2</v>
      </c>
      <c r="K1727" s="38">
        <v>2.5251829999999999E-2</v>
      </c>
      <c r="L1727" s="40">
        <v>2.0778650860000005</v>
      </c>
    </row>
    <row r="1728" spans="1:12" hidden="1">
      <c r="A1728" s="37" t="s">
        <v>2548</v>
      </c>
      <c r="B1728" s="37"/>
      <c r="C1728" s="37" t="s">
        <v>634</v>
      </c>
      <c r="D1728" s="64">
        <v>13043</v>
      </c>
      <c r="E1728" s="38">
        <v>2.25</v>
      </c>
      <c r="F1728" s="39">
        <v>0.22061454999999999</v>
      </c>
      <c r="G1728" s="38">
        <v>0</v>
      </c>
      <c r="H1728" s="38">
        <v>0</v>
      </c>
      <c r="I1728" s="38">
        <v>0.28802092000000001</v>
      </c>
      <c r="J1728" s="38">
        <v>6.7501727000000003E-3</v>
      </c>
      <c r="K1728" s="38">
        <v>8.0351048999999994E-2</v>
      </c>
      <c r="L1728" s="40">
        <v>0.59573669169999999</v>
      </c>
    </row>
    <row r="1729" spans="1:12" hidden="1">
      <c r="A1729" s="37" t="s">
        <v>2549</v>
      </c>
      <c r="B1729" s="37"/>
      <c r="C1729" s="37" t="s">
        <v>634</v>
      </c>
      <c r="D1729" s="64">
        <v>13118</v>
      </c>
      <c r="E1729" s="38">
        <v>2.64</v>
      </c>
      <c r="F1729" s="39">
        <v>3.8445173000000001</v>
      </c>
      <c r="G1729" s="38">
        <v>3.1126784999999999</v>
      </c>
      <c r="H1729" s="38">
        <v>0.56236324999999998</v>
      </c>
      <c r="I1729" s="38">
        <v>0.30415534</v>
      </c>
      <c r="J1729" s="38">
        <v>3.0276704000000002E-2</v>
      </c>
      <c r="K1729" s="38">
        <v>0.32140418999999998</v>
      </c>
      <c r="L1729" s="40">
        <v>8.1753952840000004</v>
      </c>
    </row>
    <row r="1730" spans="1:12" hidden="1">
      <c r="A1730" s="37" t="s">
        <v>2550</v>
      </c>
      <c r="B1730" s="37"/>
      <c r="C1730" s="37" t="s">
        <v>1183</v>
      </c>
      <c r="D1730" s="64">
        <v>10048</v>
      </c>
      <c r="E1730" s="38">
        <v>3.81</v>
      </c>
      <c r="F1730" s="39">
        <v>4.9048708999999997</v>
      </c>
      <c r="G1730" s="38">
        <v>1.1842334000000001</v>
      </c>
      <c r="H1730" s="38">
        <v>0.78339227</v>
      </c>
      <c r="I1730" s="38">
        <v>2.6851490999999998</v>
      </c>
      <c r="J1730" s="38">
        <v>3.7353873000000003E-2</v>
      </c>
      <c r="K1730" s="38">
        <v>4.7669270999999999E-2</v>
      </c>
      <c r="L1730" s="40">
        <v>9.6426688140000003</v>
      </c>
    </row>
    <row r="1731" spans="1:12" hidden="1">
      <c r="A1731" s="37" t="s">
        <v>2551</v>
      </c>
      <c r="B1731" s="37"/>
      <c r="C1731" s="37" t="s">
        <v>640</v>
      </c>
      <c r="D1731" s="64">
        <v>12831</v>
      </c>
      <c r="E1731" s="38">
        <v>2.4500000000000002</v>
      </c>
      <c r="F1731" s="39">
        <v>6.5967370000000001</v>
      </c>
      <c r="G1731" s="38">
        <v>0.29382051999999997</v>
      </c>
      <c r="H1731" s="38">
        <v>0.26233268999999998</v>
      </c>
      <c r="I1731" s="38">
        <v>0.21100323000000001</v>
      </c>
      <c r="J1731" s="38">
        <v>3.5969872999999999E-2</v>
      </c>
      <c r="K1731" s="38">
        <v>6.6736979E-3</v>
      </c>
      <c r="L1731" s="40">
        <v>7.4065370109000002</v>
      </c>
    </row>
    <row r="1732" spans="1:12" hidden="1">
      <c r="A1732" s="37" t="s">
        <v>2552</v>
      </c>
      <c r="B1732" s="37"/>
      <c r="C1732" s="37" t="s">
        <v>826</v>
      </c>
      <c r="D1732" s="64">
        <v>27025</v>
      </c>
      <c r="E1732" s="38">
        <v>3.68</v>
      </c>
      <c r="F1732" s="39">
        <v>5.2690168000000002</v>
      </c>
      <c r="G1732" s="38">
        <v>0</v>
      </c>
      <c r="H1732" s="38">
        <v>0.27530876999999998</v>
      </c>
      <c r="I1732" s="38">
        <v>0.90277483999999997</v>
      </c>
      <c r="J1732" s="38">
        <v>3.7353873000000003E-2</v>
      </c>
      <c r="K1732" s="38">
        <v>6.6736979E-3</v>
      </c>
      <c r="L1732" s="40">
        <v>6.4911279809</v>
      </c>
    </row>
    <row r="1733" spans="1:12" hidden="1">
      <c r="A1733" s="37" t="s">
        <v>2553</v>
      </c>
      <c r="B1733" s="37"/>
      <c r="C1733" s="37" t="s">
        <v>826</v>
      </c>
      <c r="D1733" s="64">
        <v>27010</v>
      </c>
      <c r="E1733" s="38">
        <v>3.68</v>
      </c>
      <c r="F1733" s="39">
        <v>3.9107862</v>
      </c>
      <c r="G1733" s="38">
        <v>0</v>
      </c>
      <c r="H1733" s="38">
        <v>0.27530876999999998</v>
      </c>
      <c r="I1733" s="38">
        <v>0.90277483999999997</v>
      </c>
      <c r="J1733" s="38">
        <v>3.7353873000000003E-2</v>
      </c>
      <c r="K1733" s="38">
        <v>6.6736979E-3</v>
      </c>
      <c r="L1733" s="40">
        <v>5.1328973809000003</v>
      </c>
    </row>
    <row r="1734" spans="1:12" hidden="1">
      <c r="A1734" s="37" t="s">
        <v>2554</v>
      </c>
      <c r="B1734" s="37"/>
      <c r="C1734" s="37" t="s">
        <v>873</v>
      </c>
      <c r="D1734" s="64">
        <v>27005</v>
      </c>
      <c r="E1734" s="38">
        <v>3.56</v>
      </c>
      <c r="F1734" s="39">
        <v>4.7752967999999996</v>
      </c>
      <c r="G1734" s="38">
        <v>0</v>
      </c>
      <c r="H1734" s="38">
        <v>0.22504651000000001</v>
      </c>
      <c r="I1734" s="38">
        <v>1.1023404999999999</v>
      </c>
      <c r="J1734" s="38">
        <v>4.5611246000000001E-2</v>
      </c>
      <c r="K1734" s="38">
        <v>9.4039550999999999E-2</v>
      </c>
      <c r="L1734" s="40">
        <v>6.2423346070000001</v>
      </c>
    </row>
    <row r="1735" spans="1:12" hidden="1">
      <c r="A1735" s="37" t="s">
        <v>2555</v>
      </c>
      <c r="B1735" s="37"/>
      <c r="C1735" s="37" t="s">
        <v>807</v>
      </c>
      <c r="D1735" s="64">
        <v>11014</v>
      </c>
      <c r="E1735" s="38">
        <v>2.99</v>
      </c>
      <c r="F1735" s="39">
        <v>0.59332306999999995</v>
      </c>
      <c r="G1735" s="38">
        <v>0</v>
      </c>
      <c r="H1735" s="38">
        <v>0.30212257999999997</v>
      </c>
      <c r="I1735" s="38">
        <v>0.1430929</v>
      </c>
      <c r="J1735" s="38">
        <v>1.7243568000000001E-2</v>
      </c>
      <c r="K1735" s="38">
        <v>2.9134427000000001E-2</v>
      </c>
      <c r="L1735" s="40">
        <v>1.084916545</v>
      </c>
    </row>
    <row r="1736" spans="1:12" hidden="1">
      <c r="A1736" s="37" t="s">
        <v>2556</v>
      </c>
      <c r="B1736" s="37"/>
      <c r="C1736" s="37" t="s">
        <v>807</v>
      </c>
      <c r="D1736" s="64">
        <v>11024</v>
      </c>
      <c r="E1736" s="38">
        <v>2.99</v>
      </c>
      <c r="F1736" s="39">
        <v>2.6753477000000001</v>
      </c>
      <c r="G1736" s="38">
        <v>0</v>
      </c>
      <c r="H1736" s="38">
        <v>0.47782284000000003</v>
      </c>
      <c r="I1736" s="38">
        <v>0.17533238000000001</v>
      </c>
      <c r="J1736" s="38">
        <v>1.5675970000000001E-2</v>
      </c>
      <c r="K1736" s="38">
        <v>0</v>
      </c>
      <c r="L1736" s="40">
        <v>3.3441788900000002</v>
      </c>
    </row>
    <row r="1737" spans="1:12" hidden="1">
      <c r="A1737" s="37" t="s">
        <v>2557</v>
      </c>
      <c r="B1737" s="37"/>
      <c r="C1737" s="37" t="s">
        <v>623</v>
      </c>
      <c r="D1737" s="64">
        <v>32123</v>
      </c>
      <c r="E1737" s="38">
        <v>4.03</v>
      </c>
      <c r="F1737" s="39">
        <v>2.4106751000000002</v>
      </c>
      <c r="G1737" s="38">
        <v>0.53688698999999995</v>
      </c>
      <c r="H1737" s="38">
        <v>0.28123298000000002</v>
      </c>
      <c r="I1737" s="38">
        <v>0.25408389999999997</v>
      </c>
      <c r="J1737" s="38">
        <v>1.9437894000000001E-2</v>
      </c>
      <c r="K1737" s="38">
        <v>0</v>
      </c>
      <c r="L1737" s="40">
        <v>3.502316864</v>
      </c>
    </row>
    <row r="1738" spans="1:12" hidden="1">
      <c r="A1738" s="37" t="s">
        <v>2558</v>
      </c>
      <c r="B1738" s="37"/>
      <c r="C1738" s="37" t="s">
        <v>623</v>
      </c>
      <c r="D1738" s="64">
        <v>32011</v>
      </c>
      <c r="E1738" s="38">
        <v>3.71</v>
      </c>
      <c r="F1738" s="39">
        <v>2.4106751000000002</v>
      </c>
      <c r="G1738" s="38">
        <v>0.53688698999999995</v>
      </c>
      <c r="H1738" s="38">
        <v>0.10982668</v>
      </c>
      <c r="I1738" s="38">
        <v>0.25948072</v>
      </c>
      <c r="J1738" s="38">
        <v>1.9437894000000001E-2</v>
      </c>
      <c r="K1738" s="38">
        <v>0</v>
      </c>
      <c r="L1738" s="40">
        <v>3.3363073839999999</v>
      </c>
    </row>
    <row r="1739" spans="1:12" hidden="1">
      <c r="A1739" s="37" t="s">
        <v>2559</v>
      </c>
      <c r="B1739" s="37"/>
      <c r="C1739" s="37" t="s">
        <v>623</v>
      </c>
      <c r="D1739" s="64">
        <v>32009</v>
      </c>
      <c r="E1739" s="38">
        <v>3.71</v>
      </c>
      <c r="F1739" s="39">
        <v>2.4106751000000002</v>
      </c>
      <c r="G1739" s="38">
        <v>0.53688698999999995</v>
      </c>
      <c r="H1739" s="38">
        <v>0.10982668</v>
      </c>
      <c r="I1739" s="38">
        <v>0.25948072</v>
      </c>
      <c r="J1739" s="38">
        <v>1.9437894000000001E-2</v>
      </c>
      <c r="K1739" s="38">
        <v>0</v>
      </c>
      <c r="L1739" s="40">
        <v>3.3363073839999999</v>
      </c>
    </row>
    <row r="1740" spans="1:12" hidden="1">
      <c r="A1740" s="37" t="s">
        <v>2560</v>
      </c>
      <c r="B1740" s="37"/>
      <c r="C1740" s="37" t="s">
        <v>623</v>
      </c>
      <c r="D1740" s="64">
        <v>32107</v>
      </c>
      <c r="E1740" s="38">
        <v>4.03</v>
      </c>
      <c r="F1740" s="39">
        <v>2.4106751000000002</v>
      </c>
      <c r="G1740" s="38">
        <v>0.53688698999999995</v>
      </c>
      <c r="H1740" s="38">
        <v>0.28123298000000002</v>
      </c>
      <c r="I1740" s="38">
        <v>0.25408389999999997</v>
      </c>
      <c r="J1740" s="38">
        <v>1.9437894000000001E-2</v>
      </c>
      <c r="K1740" s="38">
        <v>0</v>
      </c>
      <c r="L1740" s="40">
        <v>3.502316864</v>
      </c>
    </row>
    <row r="1741" spans="1:12" hidden="1">
      <c r="A1741" s="37" t="s">
        <v>2561</v>
      </c>
      <c r="B1741" s="37"/>
      <c r="C1741" s="37" t="s">
        <v>623</v>
      </c>
      <c r="D1741" s="64">
        <v>32121</v>
      </c>
      <c r="E1741" s="38">
        <v>4.03</v>
      </c>
      <c r="F1741" s="39">
        <v>2.4106751000000002</v>
      </c>
      <c r="G1741" s="38">
        <v>0.53688698999999995</v>
      </c>
      <c r="H1741" s="38">
        <v>0.28123298000000002</v>
      </c>
      <c r="I1741" s="38">
        <v>0.25408389999999997</v>
      </c>
      <c r="J1741" s="38">
        <v>1.9437894000000001E-2</v>
      </c>
      <c r="K1741" s="38">
        <v>0</v>
      </c>
      <c r="L1741" s="40">
        <v>3.502316864</v>
      </c>
    </row>
    <row r="1742" spans="1:12" hidden="1">
      <c r="A1742" s="37" t="s">
        <v>2562</v>
      </c>
      <c r="B1742" s="37"/>
      <c r="C1742" s="37" t="s">
        <v>623</v>
      </c>
      <c r="D1742" s="64">
        <v>32014</v>
      </c>
      <c r="E1742" s="38">
        <v>4.03</v>
      </c>
      <c r="F1742" s="39">
        <v>2.4106751000000002</v>
      </c>
      <c r="G1742" s="38">
        <v>0.53688698999999995</v>
      </c>
      <c r="H1742" s="38">
        <v>0.28123298000000002</v>
      </c>
      <c r="I1742" s="38">
        <v>0.25408389999999997</v>
      </c>
      <c r="J1742" s="38">
        <v>1.9437894000000001E-2</v>
      </c>
      <c r="K1742" s="38">
        <v>0</v>
      </c>
      <c r="L1742" s="40">
        <v>3.502316864</v>
      </c>
    </row>
    <row r="1743" spans="1:12" hidden="1">
      <c r="A1743" s="37" t="s">
        <v>2563</v>
      </c>
      <c r="B1743" s="37"/>
      <c r="C1743" s="37" t="s">
        <v>623</v>
      </c>
      <c r="D1743" s="64">
        <v>32005</v>
      </c>
      <c r="E1743" s="38">
        <v>4.03</v>
      </c>
      <c r="F1743" s="39">
        <v>2.4106751000000002</v>
      </c>
      <c r="G1743" s="38">
        <v>0.53688698999999995</v>
      </c>
      <c r="H1743" s="38">
        <v>0.28123298000000002</v>
      </c>
      <c r="I1743" s="38">
        <v>0.25408389999999997</v>
      </c>
      <c r="J1743" s="38">
        <v>1.9437894000000001E-2</v>
      </c>
      <c r="K1743" s="38">
        <v>0</v>
      </c>
      <c r="L1743" s="40">
        <v>3.502316864</v>
      </c>
    </row>
    <row r="1744" spans="1:12" hidden="1">
      <c r="A1744" s="41" t="s">
        <v>2564</v>
      </c>
      <c r="B1744" s="41"/>
      <c r="C1744" s="41" t="s">
        <v>657</v>
      </c>
      <c r="D1744" s="65">
        <v>5100</v>
      </c>
      <c r="E1744" s="42">
        <v>2.7</v>
      </c>
      <c r="F1744" s="43">
        <v>0.30160090000000001</v>
      </c>
      <c r="G1744" s="42">
        <v>9.9908833000000002E-2</v>
      </c>
      <c r="H1744" s="42">
        <v>0.47782284000000003</v>
      </c>
      <c r="I1744" s="42">
        <v>0.30469414</v>
      </c>
      <c r="J1744" s="42">
        <v>3.5836186999999999E-2</v>
      </c>
      <c r="K1744" s="42">
        <v>6.6736979E-3</v>
      </c>
      <c r="L1744" s="44">
        <v>1.2265365979</v>
      </c>
    </row>
    <row r="1745" spans="1:12" hidden="1">
      <c r="A1745" s="37" t="s">
        <v>2565</v>
      </c>
      <c r="B1745" s="37"/>
      <c r="C1745" s="37" t="s">
        <v>1533</v>
      </c>
      <c r="D1745" s="64">
        <v>13157</v>
      </c>
      <c r="E1745" s="38">
        <v>3.03</v>
      </c>
      <c r="F1745" s="39">
        <v>0.12529593</v>
      </c>
      <c r="G1745" s="38">
        <v>0.19856836999999999</v>
      </c>
      <c r="H1745" s="38">
        <v>0.19186254</v>
      </c>
      <c r="I1745" s="38">
        <v>0.13697896000000001</v>
      </c>
      <c r="J1745" s="38">
        <v>1.9437894000000001E-2</v>
      </c>
      <c r="K1745" s="38">
        <v>0</v>
      </c>
      <c r="L1745" s="40">
        <v>0.67214369399999996</v>
      </c>
    </row>
    <row r="1746" spans="1:12" hidden="1">
      <c r="A1746" s="37" t="s">
        <v>2566</v>
      </c>
      <c r="B1746" s="37"/>
      <c r="C1746" s="37" t="s">
        <v>1533</v>
      </c>
      <c r="D1746" s="64">
        <v>13158</v>
      </c>
      <c r="E1746" s="38">
        <v>2.64</v>
      </c>
      <c r="F1746" s="39">
        <v>0.12529593</v>
      </c>
      <c r="G1746" s="38">
        <v>0.19856836999999999</v>
      </c>
      <c r="H1746" s="38">
        <v>0.19186254</v>
      </c>
      <c r="I1746" s="38">
        <v>0.13697896000000001</v>
      </c>
      <c r="J1746" s="38">
        <v>1.9437894000000001E-2</v>
      </c>
      <c r="K1746" s="38">
        <v>0</v>
      </c>
      <c r="L1746" s="40">
        <v>0.67214369399999996</v>
      </c>
    </row>
    <row r="1747" spans="1:12" hidden="1">
      <c r="A1747" s="37" t="s">
        <v>2567</v>
      </c>
      <c r="B1747" s="37"/>
      <c r="C1747" s="37" t="s">
        <v>2568</v>
      </c>
      <c r="D1747" s="64">
        <v>20247</v>
      </c>
      <c r="E1747" s="38">
        <v>3.11</v>
      </c>
      <c r="F1747" s="39">
        <v>0.31328136000000001</v>
      </c>
      <c r="G1747" s="38">
        <v>0.18198924999999999</v>
      </c>
      <c r="H1747" s="38">
        <v>0.19186254</v>
      </c>
      <c r="I1747" s="38">
        <v>0.14820143999999999</v>
      </c>
      <c r="J1747" s="38">
        <v>1.9437894000000001E-2</v>
      </c>
      <c r="K1747" s="38">
        <v>1.1022624E-2</v>
      </c>
      <c r="L1747" s="40">
        <v>0.86579510799999992</v>
      </c>
    </row>
    <row r="1748" spans="1:12" hidden="1">
      <c r="A1748" s="37" t="s">
        <v>2569</v>
      </c>
      <c r="B1748" s="37"/>
      <c r="C1748" s="37" t="s">
        <v>2568</v>
      </c>
      <c r="D1748" s="64">
        <v>20246</v>
      </c>
      <c r="E1748" s="38">
        <v>3.11</v>
      </c>
      <c r="F1748" s="39">
        <v>0.31328136000000001</v>
      </c>
      <c r="G1748" s="38">
        <v>0.18198924999999999</v>
      </c>
      <c r="H1748" s="38">
        <v>0.19186254</v>
      </c>
      <c r="I1748" s="38">
        <v>0.14820143999999999</v>
      </c>
      <c r="J1748" s="38">
        <v>1.9437894000000001E-2</v>
      </c>
      <c r="K1748" s="38">
        <v>1.1022624E-2</v>
      </c>
      <c r="L1748" s="40">
        <v>0.86579510799999992</v>
      </c>
    </row>
    <row r="1749" spans="1:12" hidden="1">
      <c r="A1749" s="41" t="s">
        <v>2570</v>
      </c>
      <c r="B1749" s="41"/>
      <c r="C1749" s="41" t="s">
        <v>811</v>
      </c>
      <c r="D1749" s="65">
        <v>25010</v>
      </c>
      <c r="E1749" s="42">
        <v>1.3</v>
      </c>
      <c r="F1749" s="43">
        <v>1.4144243999999999</v>
      </c>
      <c r="G1749" s="42">
        <v>0.31839040000000002</v>
      </c>
      <c r="H1749" s="42">
        <v>0.25587406000000001</v>
      </c>
      <c r="I1749" s="42">
        <v>0.20060375999999999</v>
      </c>
      <c r="J1749" s="42">
        <v>1.7000629E-2</v>
      </c>
      <c r="K1749" s="42">
        <v>4.9387082999999997E-3</v>
      </c>
      <c r="L1749" s="44">
        <v>2.2112319572999999</v>
      </c>
    </row>
    <row r="1750" spans="1:12" hidden="1">
      <c r="A1750" s="37" t="s">
        <v>2571</v>
      </c>
      <c r="B1750" s="37"/>
      <c r="C1750" s="37" t="s">
        <v>842</v>
      </c>
      <c r="D1750" s="64">
        <v>20093</v>
      </c>
      <c r="E1750" s="38">
        <v>2.89</v>
      </c>
      <c r="F1750" s="39">
        <v>0.18435491000000001</v>
      </c>
      <c r="G1750" s="38">
        <v>0.19749316</v>
      </c>
      <c r="H1750" s="38">
        <v>0.25915577000000001</v>
      </c>
      <c r="I1750" s="38">
        <v>0.31108135999999997</v>
      </c>
      <c r="J1750" s="38">
        <v>2.3875550999999998E-2</v>
      </c>
      <c r="K1750" s="38">
        <v>1.1022624E-2</v>
      </c>
      <c r="L1750" s="40">
        <v>0.986983375</v>
      </c>
    </row>
    <row r="1751" spans="1:12" hidden="1">
      <c r="A1751" s="37" t="s">
        <v>2572</v>
      </c>
      <c r="B1751" s="37"/>
      <c r="C1751" s="37" t="s">
        <v>842</v>
      </c>
      <c r="D1751" s="64">
        <v>20214</v>
      </c>
      <c r="E1751" s="38">
        <v>2.5299999999999998</v>
      </c>
      <c r="F1751" s="39">
        <v>0.1952989</v>
      </c>
      <c r="G1751" s="38">
        <v>0.22980450999999999</v>
      </c>
      <c r="H1751" s="38">
        <v>0.18031389</v>
      </c>
      <c r="I1751" s="38">
        <v>0.20321260999999999</v>
      </c>
      <c r="J1751" s="38">
        <v>6.5218400999999995E-2</v>
      </c>
      <c r="K1751" s="38">
        <v>2.5251829999999999E-2</v>
      </c>
      <c r="L1751" s="40">
        <v>0.89910014099999991</v>
      </c>
    </row>
    <row r="1752" spans="1:12" hidden="1">
      <c r="A1752" s="37" t="s">
        <v>2573</v>
      </c>
      <c r="B1752" s="37"/>
      <c r="C1752" s="37" t="s">
        <v>842</v>
      </c>
      <c r="D1752" s="64">
        <v>20215</v>
      </c>
      <c r="E1752" s="38">
        <v>2.89</v>
      </c>
      <c r="F1752" s="39">
        <v>0.2241428</v>
      </c>
      <c r="G1752" s="38">
        <v>0.22554500999999999</v>
      </c>
      <c r="H1752" s="38">
        <v>0.26232822</v>
      </c>
      <c r="I1752" s="38">
        <v>0.20871614999999999</v>
      </c>
      <c r="J1752" s="38">
        <v>6.5218400999999995E-2</v>
      </c>
      <c r="K1752" s="38">
        <v>3.6274453999999998E-2</v>
      </c>
      <c r="L1752" s="40">
        <v>1.0222250349999999</v>
      </c>
    </row>
    <row r="1753" spans="1:12" hidden="1">
      <c r="A1753" s="37" t="s">
        <v>2574</v>
      </c>
      <c r="B1753" s="37"/>
      <c r="C1753" s="37" t="s">
        <v>842</v>
      </c>
      <c r="D1753" s="64">
        <v>20036</v>
      </c>
      <c r="E1753" s="38">
        <v>1.7</v>
      </c>
      <c r="F1753" s="39">
        <v>0.48501032999999999</v>
      </c>
      <c r="G1753" s="38">
        <v>0.19282758</v>
      </c>
      <c r="H1753" s="38">
        <v>0.31415684999999999</v>
      </c>
      <c r="I1753" s="38">
        <v>0.29135873000000001</v>
      </c>
      <c r="J1753" s="38">
        <v>2.3542496E-2</v>
      </c>
      <c r="K1753" s="38">
        <v>1.1251666E-2</v>
      </c>
      <c r="L1753" s="40">
        <v>1.3181476519999999</v>
      </c>
    </row>
    <row r="1754" spans="1:12" hidden="1">
      <c r="A1754" s="37" t="s">
        <v>2575</v>
      </c>
      <c r="B1754" s="37"/>
      <c r="C1754" s="37" t="s">
        <v>842</v>
      </c>
      <c r="D1754" s="64">
        <v>20072</v>
      </c>
      <c r="E1754" s="38">
        <v>2.4300000000000002</v>
      </c>
      <c r="F1754" s="39">
        <v>0.42618275999999999</v>
      </c>
      <c r="G1754" s="38">
        <v>0</v>
      </c>
      <c r="H1754" s="38">
        <v>0</v>
      </c>
      <c r="I1754" s="38">
        <v>0.21885003</v>
      </c>
      <c r="J1754" s="38">
        <v>2.0096387E-2</v>
      </c>
      <c r="K1754" s="38">
        <v>0</v>
      </c>
      <c r="L1754" s="40">
        <v>0.66512917700000007</v>
      </c>
    </row>
    <row r="1755" spans="1:12" hidden="1">
      <c r="A1755" s="37" t="s">
        <v>2576</v>
      </c>
      <c r="B1755" s="37"/>
      <c r="C1755" s="37" t="s">
        <v>842</v>
      </c>
      <c r="D1755" s="64">
        <v>20037</v>
      </c>
      <c r="E1755" s="38">
        <v>2.92</v>
      </c>
      <c r="F1755" s="39">
        <v>0.49783602999999998</v>
      </c>
      <c r="G1755" s="38">
        <v>0</v>
      </c>
      <c r="H1755" s="38">
        <v>0.22401635</v>
      </c>
      <c r="I1755" s="38">
        <v>0.26683975999999998</v>
      </c>
      <c r="J1755" s="38">
        <v>2.3475152999999999E-2</v>
      </c>
      <c r="K1755" s="38">
        <v>9.4509533000000007E-2</v>
      </c>
      <c r="L1755" s="40">
        <v>1.1066768259999999</v>
      </c>
    </row>
    <row r="1756" spans="1:12" hidden="1">
      <c r="A1756" s="37" t="s">
        <v>2577</v>
      </c>
      <c r="B1756" s="37"/>
      <c r="C1756" s="37" t="s">
        <v>842</v>
      </c>
      <c r="D1756" s="64">
        <v>20284</v>
      </c>
      <c r="E1756" s="38">
        <v>2.92</v>
      </c>
      <c r="F1756" s="39">
        <v>0.49783602999999998</v>
      </c>
      <c r="G1756" s="38">
        <v>0</v>
      </c>
      <c r="H1756" s="38">
        <v>0.22401635</v>
      </c>
      <c r="I1756" s="38">
        <v>0.26683975999999998</v>
      </c>
      <c r="J1756" s="38">
        <v>5.3527011000000001E-3</v>
      </c>
      <c r="K1756" s="38">
        <v>1.1022624E-2</v>
      </c>
      <c r="L1756" s="40">
        <v>1.0050674651</v>
      </c>
    </row>
    <row r="1757" spans="1:12" hidden="1">
      <c r="A1757" s="37" t="s">
        <v>2578</v>
      </c>
      <c r="B1757" s="37"/>
      <c r="C1757" s="37" t="s">
        <v>842</v>
      </c>
      <c r="D1757" s="64">
        <v>20084</v>
      </c>
      <c r="E1757" s="38">
        <v>2.67</v>
      </c>
      <c r="F1757" s="39">
        <v>0.39760157000000002</v>
      </c>
      <c r="G1757" s="38">
        <v>7.2692282999999996E-2</v>
      </c>
      <c r="H1757" s="38">
        <v>0.26232822</v>
      </c>
      <c r="I1757" s="38">
        <v>0.18860101000000001</v>
      </c>
      <c r="J1757" s="38">
        <v>6.8654974999999993E-2</v>
      </c>
      <c r="K1757" s="38">
        <v>2.5251829999999999E-2</v>
      </c>
      <c r="L1757" s="40">
        <v>1.0151298880000001</v>
      </c>
    </row>
    <row r="1758" spans="1:12" hidden="1">
      <c r="A1758" s="37" t="s">
        <v>2579</v>
      </c>
      <c r="B1758" s="37"/>
      <c r="C1758" s="37" t="s">
        <v>842</v>
      </c>
      <c r="D1758" s="64">
        <v>20124</v>
      </c>
      <c r="E1758" s="38">
        <v>2.99</v>
      </c>
      <c r="F1758" s="39">
        <v>0.46444953</v>
      </c>
      <c r="G1758" s="38">
        <v>8.4913894000000004E-2</v>
      </c>
      <c r="H1758" s="38">
        <v>0.30643294999999998</v>
      </c>
      <c r="I1758" s="38">
        <v>0.22031012</v>
      </c>
      <c r="J1758" s="38">
        <v>8.01978E-2</v>
      </c>
      <c r="K1758" s="38">
        <v>0.1240069</v>
      </c>
      <c r="L1758" s="40">
        <v>1.280311194</v>
      </c>
    </row>
    <row r="1759" spans="1:12" hidden="1">
      <c r="A1759" s="37" t="s">
        <v>2580</v>
      </c>
      <c r="B1759" s="37"/>
      <c r="C1759" s="37" t="s">
        <v>1183</v>
      </c>
      <c r="D1759" s="64">
        <v>10049</v>
      </c>
      <c r="E1759" s="38">
        <v>3.03</v>
      </c>
      <c r="F1759" s="39">
        <v>4.9048708999999997</v>
      </c>
      <c r="G1759" s="38">
        <v>1.1842334000000001</v>
      </c>
      <c r="H1759" s="38">
        <v>0.78339227</v>
      </c>
      <c r="I1759" s="38">
        <v>2.6851490999999998</v>
      </c>
      <c r="J1759" s="38">
        <v>3.7353873000000003E-2</v>
      </c>
      <c r="K1759" s="38">
        <v>4.7669270999999999E-2</v>
      </c>
      <c r="L1759" s="40">
        <v>9.6426688140000003</v>
      </c>
    </row>
    <row r="1760" spans="1:12" hidden="1">
      <c r="A1760" s="37" t="s">
        <v>2581</v>
      </c>
      <c r="B1760" s="37"/>
      <c r="C1760" s="37" t="s">
        <v>640</v>
      </c>
      <c r="D1760" s="64">
        <v>12836</v>
      </c>
      <c r="E1760" s="38">
        <v>2.4500000000000002</v>
      </c>
      <c r="F1760" s="39">
        <v>6.0103603999999997</v>
      </c>
      <c r="G1760" s="38">
        <v>0.29382051999999997</v>
      </c>
      <c r="H1760" s="38">
        <v>0.26233268999999998</v>
      </c>
      <c r="I1760" s="38">
        <v>0.21100323000000001</v>
      </c>
      <c r="J1760" s="38">
        <v>3.5969872999999999E-2</v>
      </c>
      <c r="K1760" s="38">
        <v>6.6736979E-3</v>
      </c>
      <c r="L1760" s="40">
        <v>6.8201604108999998</v>
      </c>
    </row>
    <row r="1761" spans="1:12" hidden="1">
      <c r="A1761" s="37" t="s">
        <v>2582</v>
      </c>
      <c r="B1761" s="37"/>
      <c r="C1761" s="37" t="s">
        <v>631</v>
      </c>
      <c r="D1761" s="64">
        <v>28540</v>
      </c>
      <c r="E1761" s="38">
        <v>2.4900000000000002</v>
      </c>
      <c r="F1761" s="39">
        <v>2.2695116999999998</v>
      </c>
      <c r="G1761" s="38">
        <v>0.16349653</v>
      </c>
      <c r="H1761" s="38">
        <v>0.26768330000000001</v>
      </c>
      <c r="I1761" s="38">
        <v>0.30451447999999998</v>
      </c>
      <c r="J1761" s="38">
        <v>5.8984421000000002E-2</v>
      </c>
      <c r="K1761" s="38">
        <v>0.19793284</v>
      </c>
      <c r="L1761" s="40">
        <v>3.2621232709999997</v>
      </c>
    </row>
    <row r="1762" spans="1:12" hidden="1">
      <c r="A1762" s="37" t="s">
        <v>2583</v>
      </c>
      <c r="B1762" s="37"/>
      <c r="C1762" s="37" t="s">
        <v>786</v>
      </c>
      <c r="D1762" s="64">
        <v>36602</v>
      </c>
      <c r="E1762" s="38">
        <v>3.11</v>
      </c>
      <c r="F1762" s="39">
        <v>6.8523363000000002</v>
      </c>
      <c r="G1762" s="38">
        <v>1.3618992999999999</v>
      </c>
      <c r="H1762" s="38">
        <v>0.45559123000000001</v>
      </c>
      <c r="I1762" s="38">
        <v>0.38472577000000002</v>
      </c>
      <c r="J1762" s="38">
        <v>6.1814583999999999E-2</v>
      </c>
      <c r="K1762" s="38">
        <v>0.20330878999999999</v>
      </c>
      <c r="L1762" s="40">
        <v>9.319675973999999</v>
      </c>
    </row>
    <row r="1763" spans="1:12" hidden="1">
      <c r="A1763" s="37" t="s">
        <v>2584</v>
      </c>
      <c r="B1763" s="37"/>
      <c r="C1763" s="37" t="s">
        <v>637</v>
      </c>
      <c r="D1763" s="64">
        <v>15025</v>
      </c>
      <c r="E1763" s="38">
        <v>3.76</v>
      </c>
      <c r="F1763" s="39">
        <v>3.5179081000000001</v>
      </c>
      <c r="G1763" s="38">
        <v>0.19366700000000001</v>
      </c>
      <c r="H1763" s="38">
        <v>0.26506589000000003</v>
      </c>
      <c r="I1763" s="38">
        <v>0.15881372999999999</v>
      </c>
      <c r="J1763" s="38">
        <v>2.2656431000000001E-2</v>
      </c>
      <c r="K1763" s="38">
        <v>0</v>
      </c>
      <c r="L1763" s="40">
        <v>4.1581111509999999</v>
      </c>
    </row>
    <row r="1764" spans="1:12" hidden="1">
      <c r="A1764" s="37" t="s">
        <v>2585</v>
      </c>
      <c r="B1764" s="37"/>
      <c r="C1764" s="37" t="s">
        <v>782</v>
      </c>
      <c r="D1764" s="64">
        <v>26027</v>
      </c>
      <c r="E1764" s="38">
        <v>2.89</v>
      </c>
      <c r="F1764" s="39">
        <v>1.0970264999999999</v>
      </c>
      <c r="G1764" s="38">
        <v>0.50917767999999997</v>
      </c>
      <c r="H1764" s="38">
        <v>4.1064151999999998</v>
      </c>
      <c r="I1764" s="38">
        <v>0.25521399</v>
      </c>
      <c r="J1764" s="38">
        <v>2.2468317000000002E-2</v>
      </c>
      <c r="K1764" s="38">
        <v>5.4910610999999998E-2</v>
      </c>
      <c r="L1764" s="40">
        <v>6.045212298</v>
      </c>
    </row>
    <row r="1765" spans="1:12" hidden="1">
      <c r="A1765" s="37" t="s">
        <v>2586</v>
      </c>
      <c r="B1765" s="37"/>
      <c r="C1765" s="37" t="s">
        <v>842</v>
      </c>
      <c r="D1765" s="64">
        <v>20151</v>
      </c>
      <c r="E1765" s="38">
        <v>2.68</v>
      </c>
      <c r="F1765" s="39">
        <v>0.75605781999999999</v>
      </c>
      <c r="G1765" s="38">
        <v>0</v>
      </c>
      <c r="H1765" s="38">
        <v>0</v>
      </c>
      <c r="I1765" s="38">
        <v>0.32592714</v>
      </c>
      <c r="J1765" s="38">
        <v>2.1283765E-2</v>
      </c>
      <c r="K1765" s="38">
        <v>8.0351048999999994E-2</v>
      </c>
      <c r="L1765" s="40">
        <v>1.1836197739999998</v>
      </c>
    </row>
    <row r="1766" spans="1:12" hidden="1">
      <c r="A1766" s="37" t="s">
        <v>2587</v>
      </c>
      <c r="B1766" s="37"/>
      <c r="C1766" s="37" t="s">
        <v>788</v>
      </c>
      <c r="D1766" s="64">
        <v>36700</v>
      </c>
      <c r="E1766" s="38">
        <v>3.11</v>
      </c>
      <c r="F1766" s="39">
        <v>5.1759893000000003</v>
      </c>
      <c r="G1766" s="38">
        <v>1.028726</v>
      </c>
      <c r="H1766" s="38">
        <v>0.34413596000000002</v>
      </c>
      <c r="I1766" s="38">
        <v>0.29060693999999998</v>
      </c>
      <c r="J1766" s="38">
        <v>4.6692341999999998E-2</v>
      </c>
      <c r="K1766" s="38">
        <v>8.8693171000000001E-2</v>
      </c>
      <c r="L1766" s="40">
        <v>6.9748437130000003</v>
      </c>
    </row>
    <row r="1767" spans="1:12" hidden="1">
      <c r="A1767" s="37" t="s">
        <v>2588</v>
      </c>
      <c r="B1767" s="37"/>
      <c r="C1767" s="37" t="s">
        <v>788</v>
      </c>
      <c r="D1767" s="64">
        <v>36703</v>
      </c>
      <c r="E1767" s="38">
        <v>3.11</v>
      </c>
      <c r="F1767" s="39">
        <v>5.1759893000000003</v>
      </c>
      <c r="G1767" s="38">
        <v>1.028726</v>
      </c>
      <c r="H1767" s="38">
        <v>0.34413596000000002</v>
      </c>
      <c r="I1767" s="38">
        <v>0.29060693999999998</v>
      </c>
      <c r="J1767" s="38">
        <v>4.6692341999999998E-2</v>
      </c>
      <c r="K1767" s="38">
        <v>8.8693171000000001E-2</v>
      </c>
      <c r="L1767" s="40">
        <v>6.9748437130000003</v>
      </c>
    </row>
    <row r="1768" spans="1:12" hidden="1">
      <c r="A1768" s="37" t="s">
        <v>2589</v>
      </c>
      <c r="B1768" s="37"/>
      <c r="C1768" s="37" t="s">
        <v>788</v>
      </c>
      <c r="D1768" s="64">
        <v>36702</v>
      </c>
      <c r="E1768" s="38">
        <v>3.11</v>
      </c>
      <c r="F1768" s="39">
        <v>5.1759893000000003</v>
      </c>
      <c r="G1768" s="38">
        <v>1.0781514000000001</v>
      </c>
      <c r="H1768" s="38">
        <v>0.27530876999999998</v>
      </c>
      <c r="I1768" s="38">
        <v>0.24341649000000001</v>
      </c>
      <c r="J1768" s="38">
        <v>3.7353873000000003E-2</v>
      </c>
      <c r="K1768" s="38">
        <v>6.6736979E-3</v>
      </c>
      <c r="L1768" s="40">
        <v>6.8168935309000007</v>
      </c>
    </row>
    <row r="1769" spans="1:12" hidden="1">
      <c r="A1769" s="37" t="s">
        <v>2590</v>
      </c>
      <c r="B1769" s="37"/>
      <c r="C1769" s="37" t="s">
        <v>811</v>
      </c>
      <c r="D1769" s="64">
        <v>20240</v>
      </c>
      <c r="E1769" s="38">
        <v>2.88</v>
      </c>
      <c r="F1769" s="39">
        <v>0.42070872999999998</v>
      </c>
      <c r="G1769" s="38">
        <v>0.28653833000000001</v>
      </c>
      <c r="H1769" s="38">
        <v>0.18549789</v>
      </c>
      <c r="I1769" s="38">
        <v>0.27426928</v>
      </c>
      <c r="J1769" s="38">
        <v>3.7768032999999999E-2</v>
      </c>
      <c r="K1769" s="38">
        <v>1.7696322E-2</v>
      </c>
      <c r="L1769" s="40">
        <v>1.222478585</v>
      </c>
    </row>
    <row r="1770" spans="1:12" hidden="1">
      <c r="A1770" s="37" t="s">
        <v>2591</v>
      </c>
      <c r="B1770" s="37"/>
      <c r="C1770" s="37" t="s">
        <v>644</v>
      </c>
      <c r="D1770" s="64">
        <v>25528</v>
      </c>
      <c r="E1770" s="38">
        <v>2.2200000000000002</v>
      </c>
      <c r="F1770" s="39">
        <v>1.1191712</v>
      </c>
      <c r="G1770" s="38">
        <v>0.20938649000000001</v>
      </c>
      <c r="H1770" s="38">
        <v>0.10404679</v>
      </c>
      <c r="I1770" s="38">
        <v>0.28460614000000001</v>
      </c>
      <c r="J1770" s="38">
        <v>3.7768032999999999E-2</v>
      </c>
      <c r="K1770" s="38">
        <v>9.2564276000000001E-2</v>
      </c>
      <c r="L1770" s="40">
        <v>1.8475429290000001</v>
      </c>
    </row>
    <row r="1771" spans="1:12" hidden="1">
      <c r="A1771" s="37" t="s">
        <v>2592</v>
      </c>
      <c r="B1771" s="37"/>
      <c r="C1771" s="37" t="s">
        <v>842</v>
      </c>
      <c r="D1771" s="64">
        <v>20038</v>
      </c>
      <c r="E1771" s="38">
        <v>2.6</v>
      </c>
      <c r="F1771" s="39">
        <v>0.30023238000000002</v>
      </c>
      <c r="G1771" s="38">
        <v>0</v>
      </c>
      <c r="H1771" s="38">
        <v>0</v>
      </c>
      <c r="I1771" s="38">
        <v>0.36475004999999999</v>
      </c>
      <c r="J1771" s="38">
        <v>6.1814329000000001E-2</v>
      </c>
      <c r="K1771" s="38">
        <v>0.21426945999999999</v>
      </c>
      <c r="L1771" s="40">
        <v>0.94106621899999998</v>
      </c>
    </row>
    <row r="1772" spans="1:12" hidden="1">
      <c r="A1772" s="37" t="s">
        <v>2593</v>
      </c>
      <c r="B1772" s="37"/>
      <c r="C1772" s="37" t="s">
        <v>637</v>
      </c>
      <c r="D1772" s="64">
        <v>15044</v>
      </c>
      <c r="E1772" s="38">
        <v>4.4000000000000004</v>
      </c>
      <c r="F1772" s="39">
        <v>5.7843438999999996</v>
      </c>
      <c r="G1772" s="38">
        <v>0</v>
      </c>
      <c r="H1772" s="38">
        <v>0.53013177</v>
      </c>
      <c r="I1772" s="38">
        <v>0.57841503000000005</v>
      </c>
      <c r="J1772" s="38">
        <v>4.5312862000000002E-2</v>
      </c>
      <c r="K1772" s="38">
        <v>0.32140418999999998</v>
      </c>
      <c r="L1772" s="40">
        <v>7.259607752</v>
      </c>
    </row>
    <row r="1773" spans="1:12" hidden="1">
      <c r="A1773" s="37" t="s">
        <v>2594</v>
      </c>
      <c r="B1773" s="37"/>
      <c r="C1773" s="37" t="s">
        <v>637</v>
      </c>
      <c r="D1773" s="64">
        <v>15009</v>
      </c>
      <c r="E1773" s="38">
        <v>4.4000000000000004</v>
      </c>
      <c r="F1773" s="39">
        <v>5.7843438999999996</v>
      </c>
      <c r="G1773" s="38">
        <v>0</v>
      </c>
      <c r="H1773" s="38">
        <v>0.53013177</v>
      </c>
      <c r="I1773" s="38">
        <v>0.57841503000000005</v>
      </c>
      <c r="J1773" s="38">
        <v>4.5312862000000002E-2</v>
      </c>
      <c r="K1773" s="38">
        <v>0.32140418999999998</v>
      </c>
      <c r="L1773" s="40">
        <v>7.259607752</v>
      </c>
    </row>
    <row r="1774" spans="1:12" hidden="1">
      <c r="A1774" s="37" t="s">
        <v>2595</v>
      </c>
      <c r="B1774" s="37"/>
      <c r="C1774" s="37" t="s">
        <v>644</v>
      </c>
      <c r="D1774" s="64">
        <v>25478</v>
      </c>
      <c r="E1774" s="38">
        <v>1.94</v>
      </c>
      <c r="F1774" s="39">
        <v>2.514726</v>
      </c>
      <c r="G1774" s="38">
        <v>0.30314054000000001</v>
      </c>
      <c r="H1774" s="38">
        <v>0.10407184999999999</v>
      </c>
      <c r="I1774" s="38">
        <v>0.22488013000000001</v>
      </c>
      <c r="J1774" s="38">
        <v>3.7768032999999999E-2</v>
      </c>
      <c r="K1774" s="38">
        <v>9.2564276000000001E-2</v>
      </c>
      <c r="L1774" s="40">
        <v>3.2771508289999995</v>
      </c>
    </row>
    <row r="1775" spans="1:12" hidden="1">
      <c r="A1775" s="37" t="s">
        <v>2596</v>
      </c>
      <c r="B1775" s="37"/>
      <c r="C1775" s="37" t="s">
        <v>644</v>
      </c>
      <c r="D1775" s="64">
        <v>25457</v>
      </c>
      <c r="E1775" s="38">
        <v>2.06</v>
      </c>
      <c r="F1775" s="39">
        <v>6.6066691000000004</v>
      </c>
      <c r="G1775" s="38">
        <v>0.24240904999999999</v>
      </c>
      <c r="H1775" s="38">
        <v>0.10407304000000001</v>
      </c>
      <c r="I1775" s="38">
        <v>0.22982831000000001</v>
      </c>
      <c r="J1775" s="38">
        <v>3.7768032999999999E-2</v>
      </c>
      <c r="K1775" s="38">
        <v>9.2564276000000001E-2</v>
      </c>
      <c r="L1775" s="40">
        <v>7.3133118090000009</v>
      </c>
    </row>
    <row r="1776" spans="1:12" hidden="1">
      <c r="A1776" s="37" t="s">
        <v>2597</v>
      </c>
      <c r="B1776" s="37"/>
      <c r="C1776" s="37" t="s">
        <v>644</v>
      </c>
      <c r="D1776" s="64">
        <v>25468</v>
      </c>
      <c r="E1776" s="38">
        <v>1.93</v>
      </c>
      <c r="F1776" s="39">
        <v>2.7756327999999999</v>
      </c>
      <c r="G1776" s="38">
        <v>0.29952369000000001</v>
      </c>
      <c r="H1776" s="38">
        <v>0.10406828</v>
      </c>
      <c r="I1776" s="38">
        <v>0.22585488000000001</v>
      </c>
      <c r="J1776" s="38">
        <v>3.7768032999999999E-2</v>
      </c>
      <c r="K1776" s="38">
        <v>9.2564276000000001E-2</v>
      </c>
      <c r="L1776" s="40">
        <v>3.5354119589999997</v>
      </c>
    </row>
    <row r="1777" spans="1:12" hidden="1">
      <c r="A1777" s="37" t="s">
        <v>2598</v>
      </c>
      <c r="B1777" s="37"/>
      <c r="C1777" s="37" t="s">
        <v>644</v>
      </c>
      <c r="D1777" s="64">
        <v>25462</v>
      </c>
      <c r="E1777" s="38">
        <v>1.95</v>
      </c>
      <c r="F1777" s="39">
        <v>1.6540706000000001</v>
      </c>
      <c r="G1777" s="38">
        <v>0.31173079999999997</v>
      </c>
      <c r="H1777" s="38">
        <v>0.10677715</v>
      </c>
      <c r="I1777" s="38">
        <v>0.22922029999999999</v>
      </c>
      <c r="J1777" s="38">
        <v>3.7768032999999999E-2</v>
      </c>
      <c r="K1777" s="38">
        <v>9.2564276000000001E-2</v>
      </c>
      <c r="L1777" s="40">
        <v>2.4321311590000003</v>
      </c>
    </row>
    <row r="1778" spans="1:12" hidden="1">
      <c r="A1778" s="37" t="s">
        <v>2599</v>
      </c>
      <c r="B1778" s="37"/>
      <c r="C1778" s="37" t="s">
        <v>644</v>
      </c>
      <c r="D1778" s="64">
        <v>25404</v>
      </c>
      <c r="E1778" s="38">
        <v>2.79</v>
      </c>
      <c r="F1778" s="39">
        <v>0.93967738000000001</v>
      </c>
      <c r="G1778" s="38">
        <v>0.21437189000000001</v>
      </c>
      <c r="H1778" s="38">
        <v>0.10406868</v>
      </c>
      <c r="I1778" s="38">
        <v>0.24027613</v>
      </c>
      <c r="J1778" s="38">
        <v>3.7768032999999999E-2</v>
      </c>
      <c r="K1778" s="38">
        <v>9.2564276000000001E-2</v>
      </c>
      <c r="L1778" s="40">
        <v>1.6287263890000001</v>
      </c>
    </row>
    <row r="1779" spans="1:12" hidden="1">
      <c r="A1779" s="37" t="s">
        <v>2600</v>
      </c>
      <c r="B1779" s="37"/>
      <c r="C1779" s="37" t="s">
        <v>644</v>
      </c>
      <c r="D1779" s="64">
        <v>26272</v>
      </c>
      <c r="E1779" s="38">
        <v>2.3199999999999998</v>
      </c>
      <c r="F1779" s="39">
        <v>2.0368046</v>
      </c>
      <c r="G1779" s="38">
        <v>0.44141798999999998</v>
      </c>
      <c r="H1779" s="38">
        <v>0.10407344</v>
      </c>
      <c r="I1779" s="38">
        <v>0.25243852</v>
      </c>
      <c r="J1779" s="38">
        <v>3.7768032999999999E-2</v>
      </c>
      <c r="K1779" s="38">
        <v>9.2564276000000001E-2</v>
      </c>
      <c r="L1779" s="40">
        <v>2.9650668590000002</v>
      </c>
    </row>
    <row r="1780" spans="1:12" hidden="1">
      <c r="A1780" s="37" t="s">
        <v>2601</v>
      </c>
      <c r="B1780" s="37"/>
      <c r="C1780" s="37" t="s">
        <v>644</v>
      </c>
      <c r="D1780" s="64">
        <v>25464</v>
      </c>
      <c r="E1780" s="38">
        <v>2.88</v>
      </c>
      <c r="F1780" s="39">
        <v>1.6601766</v>
      </c>
      <c r="G1780" s="38">
        <v>0.2350777</v>
      </c>
      <c r="H1780" s="38">
        <v>0.10406113</v>
      </c>
      <c r="I1780" s="38">
        <v>0.31905973999999998</v>
      </c>
      <c r="J1780" s="38">
        <v>3.7768032999999999E-2</v>
      </c>
      <c r="K1780" s="38">
        <v>9.2564276000000001E-2</v>
      </c>
      <c r="L1780" s="40">
        <v>2.4487074789999999</v>
      </c>
    </row>
    <row r="1781" spans="1:12" hidden="1">
      <c r="A1781" s="37" t="s">
        <v>2602</v>
      </c>
      <c r="B1781" s="37"/>
      <c r="C1781" s="37" t="s">
        <v>644</v>
      </c>
      <c r="D1781" s="64">
        <v>26274</v>
      </c>
      <c r="E1781" s="38">
        <v>2.3199999999999998</v>
      </c>
      <c r="F1781" s="39">
        <v>2.153149</v>
      </c>
      <c r="G1781" s="38">
        <v>0.31407739000000001</v>
      </c>
      <c r="H1781" s="38">
        <v>0.19816470999999999</v>
      </c>
      <c r="I1781" s="38">
        <v>0.23287943999999999</v>
      </c>
      <c r="J1781" s="38">
        <v>3.7768032999999999E-2</v>
      </c>
      <c r="K1781" s="38">
        <v>9.2564276000000001E-2</v>
      </c>
      <c r="L1781" s="40">
        <v>3.0286028489999999</v>
      </c>
    </row>
    <row r="1782" spans="1:12" hidden="1">
      <c r="A1782" s="37" t="s">
        <v>2603</v>
      </c>
      <c r="B1782" s="37"/>
      <c r="C1782" s="37" t="s">
        <v>644</v>
      </c>
      <c r="D1782" s="64">
        <v>26270</v>
      </c>
      <c r="E1782" s="38">
        <v>2.48</v>
      </c>
      <c r="F1782" s="39">
        <v>1.6601766</v>
      </c>
      <c r="G1782" s="38">
        <v>0.2350777</v>
      </c>
      <c r="H1782" s="38">
        <v>0.10406113</v>
      </c>
      <c r="I1782" s="38">
        <v>0.31905973999999998</v>
      </c>
      <c r="J1782" s="38">
        <v>3.7768032999999999E-2</v>
      </c>
      <c r="K1782" s="38">
        <v>9.2564276000000001E-2</v>
      </c>
      <c r="L1782" s="40">
        <v>2.4487074789999999</v>
      </c>
    </row>
    <row r="1783" spans="1:12" hidden="1">
      <c r="A1783" s="37" t="s">
        <v>2604</v>
      </c>
      <c r="B1783" s="37"/>
      <c r="C1783" s="37" t="s">
        <v>644</v>
      </c>
      <c r="D1783" s="64">
        <v>25463</v>
      </c>
      <c r="E1783" s="38">
        <v>2.88</v>
      </c>
      <c r="F1783" s="39">
        <v>1.6601766</v>
      </c>
      <c r="G1783" s="38">
        <v>0.2350777</v>
      </c>
      <c r="H1783" s="38">
        <v>0.10406113</v>
      </c>
      <c r="I1783" s="38">
        <v>0.31905973999999998</v>
      </c>
      <c r="J1783" s="38">
        <v>3.7768032999999999E-2</v>
      </c>
      <c r="K1783" s="38">
        <v>9.2564276000000001E-2</v>
      </c>
      <c r="L1783" s="40">
        <v>2.4487074789999999</v>
      </c>
    </row>
    <row r="1784" spans="1:12" hidden="1">
      <c r="A1784" s="37" t="s">
        <v>2605</v>
      </c>
      <c r="B1784" s="37"/>
      <c r="C1784" s="37" t="s">
        <v>644</v>
      </c>
      <c r="D1784" s="64">
        <v>25570</v>
      </c>
      <c r="E1784" s="38">
        <v>2.33</v>
      </c>
      <c r="F1784" s="39">
        <v>2.7756327999999999</v>
      </c>
      <c r="G1784" s="38">
        <v>0.29952369000000001</v>
      </c>
      <c r="H1784" s="38">
        <v>0.10406828</v>
      </c>
      <c r="I1784" s="38">
        <v>0.22585488000000001</v>
      </c>
      <c r="J1784" s="38">
        <v>3.7768032999999999E-2</v>
      </c>
      <c r="K1784" s="38">
        <v>9.2564276000000001E-2</v>
      </c>
      <c r="L1784" s="40">
        <v>3.5354119589999997</v>
      </c>
    </row>
    <row r="1785" spans="1:12" hidden="1">
      <c r="A1785" s="37" t="s">
        <v>2606</v>
      </c>
      <c r="B1785" s="37"/>
      <c r="C1785" s="37" t="s">
        <v>644</v>
      </c>
      <c r="D1785" s="64">
        <v>25472</v>
      </c>
      <c r="E1785" s="38">
        <v>1.92</v>
      </c>
      <c r="F1785" s="39">
        <v>2.3977347</v>
      </c>
      <c r="G1785" s="38">
        <v>0.29729678999999998</v>
      </c>
      <c r="H1785" s="38">
        <v>0.16516627</v>
      </c>
      <c r="I1785" s="38">
        <v>0.22584155</v>
      </c>
      <c r="J1785" s="38">
        <v>3.7768032999999999E-2</v>
      </c>
      <c r="K1785" s="38">
        <v>9.2564276000000001E-2</v>
      </c>
      <c r="L1785" s="40">
        <v>3.2163716189999998</v>
      </c>
    </row>
    <row r="1786" spans="1:12" hidden="1">
      <c r="A1786" s="37" t="s">
        <v>2607</v>
      </c>
      <c r="B1786" s="37"/>
      <c r="C1786" s="37" t="s">
        <v>644</v>
      </c>
      <c r="D1786" s="64">
        <v>25477</v>
      </c>
      <c r="E1786" s="38">
        <v>1.86</v>
      </c>
      <c r="F1786" s="39">
        <v>2.5028657999999999</v>
      </c>
      <c r="G1786" s="38">
        <v>0.21453689000000001</v>
      </c>
      <c r="H1786" s="38">
        <v>0.10407146</v>
      </c>
      <c r="I1786" s="38">
        <v>0.23070689</v>
      </c>
      <c r="J1786" s="38">
        <v>3.7768032999999999E-2</v>
      </c>
      <c r="K1786" s="38">
        <v>9.2564276000000001E-2</v>
      </c>
      <c r="L1786" s="40">
        <v>3.1825133490000002</v>
      </c>
    </row>
    <row r="1787" spans="1:12" hidden="1">
      <c r="A1787" s="37" t="s">
        <v>2608</v>
      </c>
      <c r="B1787" s="37"/>
      <c r="C1787" s="37" t="s">
        <v>644</v>
      </c>
      <c r="D1787" s="64">
        <v>25435</v>
      </c>
      <c r="E1787" s="38">
        <v>1.92</v>
      </c>
      <c r="F1787" s="39">
        <v>2.153149</v>
      </c>
      <c r="G1787" s="38">
        <v>0.31407739000000001</v>
      </c>
      <c r="H1787" s="38">
        <v>0.19816470999999999</v>
      </c>
      <c r="I1787" s="38">
        <v>0.23287943999999999</v>
      </c>
      <c r="J1787" s="38">
        <v>3.7768032999999999E-2</v>
      </c>
      <c r="K1787" s="38">
        <v>9.2564276000000001E-2</v>
      </c>
      <c r="L1787" s="40">
        <v>3.0286028489999999</v>
      </c>
    </row>
    <row r="1788" spans="1:12" hidden="1">
      <c r="A1788" s="37" t="s">
        <v>2609</v>
      </c>
      <c r="B1788" s="37"/>
      <c r="C1788" s="37" t="s">
        <v>644</v>
      </c>
      <c r="D1788" s="64">
        <v>25548</v>
      </c>
      <c r="E1788" s="38">
        <v>1.92</v>
      </c>
      <c r="F1788" s="39">
        <v>2.4280955999999998</v>
      </c>
      <c r="G1788" s="38">
        <v>0.27734229999999999</v>
      </c>
      <c r="H1788" s="38">
        <v>0.16783312</v>
      </c>
      <c r="I1788" s="38">
        <v>0.23238969000000001</v>
      </c>
      <c r="J1788" s="38">
        <v>3.7768032999999999E-2</v>
      </c>
      <c r="K1788" s="38">
        <v>9.2564276000000001E-2</v>
      </c>
      <c r="L1788" s="40">
        <v>3.2359930189999999</v>
      </c>
    </row>
    <row r="1789" spans="1:12" hidden="1">
      <c r="A1789" s="37" t="s">
        <v>2610</v>
      </c>
      <c r="B1789" s="37"/>
      <c r="C1789" s="37" t="s">
        <v>644</v>
      </c>
      <c r="D1789" s="64">
        <v>26271</v>
      </c>
      <c r="E1789" s="38">
        <v>2.3199999999999998</v>
      </c>
      <c r="F1789" s="39">
        <v>2.153149</v>
      </c>
      <c r="G1789" s="38">
        <v>0.31407739000000001</v>
      </c>
      <c r="H1789" s="38">
        <v>0.19816470999999999</v>
      </c>
      <c r="I1789" s="38">
        <v>0.23287943999999999</v>
      </c>
      <c r="J1789" s="38">
        <v>3.7768032999999999E-2</v>
      </c>
      <c r="K1789" s="38">
        <v>9.2564276000000001E-2</v>
      </c>
      <c r="L1789" s="40">
        <v>3.0286028489999999</v>
      </c>
    </row>
    <row r="1790" spans="1:12" hidden="1">
      <c r="A1790" s="37" t="s">
        <v>2611</v>
      </c>
      <c r="B1790" s="37"/>
      <c r="C1790" s="37" t="s">
        <v>644</v>
      </c>
      <c r="D1790" s="64">
        <v>26273</v>
      </c>
      <c r="E1790" s="38">
        <v>2.33</v>
      </c>
      <c r="F1790" s="39">
        <v>2.7756327999999999</v>
      </c>
      <c r="G1790" s="38">
        <v>0.29952369000000001</v>
      </c>
      <c r="H1790" s="38">
        <v>0.10406828</v>
      </c>
      <c r="I1790" s="38">
        <v>0.22585488000000001</v>
      </c>
      <c r="J1790" s="38">
        <v>3.7768032999999999E-2</v>
      </c>
      <c r="K1790" s="38">
        <v>9.2564276000000001E-2</v>
      </c>
      <c r="L1790" s="40">
        <v>3.5354119589999997</v>
      </c>
    </row>
    <row r="1791" spans="1:12" hidden="1">
      <c r="A1791" s="41" t="s">
        <v>2612</v>
      </c>
      <c r="B1791" s="41"/>
      <c r="C1791" s="41" t="s">
        <v>1442</v>
      </c>
      <c r="D1791" s="65">
        <v>25525</v>
      </c>
      <c r="E1791" s="42">
        <v>3.19</v>
      </c>
      <c r="F1791" s="43">
        <v>0.23113781999999999</v>
      </c>
      <c r="G1791" s="42">
        <v>0.16771351000000001</v>
      </c>
      <c r="H1791" s="42">
        <v>0.10977533</v>
      </c>
      <c r="I1791" s="42">
        <v>0.19020392</v>
      </c>
      <c r="J1791" s="42">
        <v>1.9437894000000001E-2</v>
      </c>
      <c r="K1791" s="42">
        <v>0</v>
      </c>
      <c r="L1791" s="44">
        <v>0.71826847399999993</v>
      </c>
    </row>
    <row r="1792" spans="1:12" hidden="1">
      <c r="A1792" s="41" t="s">
        <v>2613</v>
      </c>
      <c r="B1792" s="41"/>
      <c r="C1792" s="41" t="s">
        <v>2568</v>
      </c>
      <c r="D1792" s="65">
        <v>20251</v>
      </c>
      <c r="E1792" s="42">
        <v>2.39</v>
      </c>
      <c r="F1792" s="43">
        <v>0.21129751999999999</v>
      </c>
      <c r="G1792" s="42">
        <v>0.28295583000000002</v>
      </c>
      <c r="H1792" s="42">
        <v>0.19186254</v>
      </c>
      <c r="I1792" s="42">
        <v>0.14096603999999999</v>
      </c>
      <c r="J1792" s="42">
        <v>1.9437894000000001E-2</v>
      </c>
      <c r="K1792" s="42">
        <v>1.1022624E-2</v>
      </c>
      <c r="L1792" s="44">
        <v>0.85754244800000001</v>
      </c>
    </row>
    <row r="1793" spans="1:12" hidden="1">
      <c r="A1793" s="41" t="s">
        <v>2614</v>
      </c>
      <c r="B1793" s="41"/>
      <c r="C1793" s="41" t="s">
        <v>2568</v>
      </c>
      <c r="D1793" s="65">
        <v>20254</v>
      </c>
      <c r="E1793" s="42">
        <v>2.39</v>
      </c>
      <c r="F1793" s="43">
        <v>0.21129751999999999</v>
      </c>
      <c r="G1793" s="42">
        <v>0.28295583000000002</v>
      </c>
      <c r="H1793" s="42">
        <v>0.19186254</v>
      </c>
      <c r="I1793" s="42">
        <v>0.14096603999999999</v>
      </c>
      <c r="J1793" s="42">
        <v>1.9437894000000001E-2</v>
      </c>
      <c r="K1793" s="42">
        <v>1.1022624E-2</v>
      </c>
      <c r="L1793" s="44">
        <v>0.85754244800000001</v>
      </c>
    </row>
    <row r="1794" spans="1:12" hidden="1">
      <c r="A1794" s="41" t="s">
        <v>2615</v>
      </c>
      <c r="B1794" s="41"/>
      <c r="C1794" s="41" t="s">
        <v>2568</v>
      </c>
      <c r="D1794" s="65">
        <v>20249</v>
      </c>
      <c r="E1794" s="42">
        <v>2.39</v>
      </c>
      <c r="F1794" s="43">
        <v>0.21129751999999999</v>
      </c>
      <c r="G1794" s="42">
        <v>0.28295583000000002</v>
      </c>
      <c r="H1794" s="42">
        <v>0.19186254</v>
      </c>
      <c r="I1794" s="42">
        <v>0.14096603999999999</v>
      </c>
      <c r="J1794" s="42">
        <v>1.9437894000000001E-2</v>
      </c>
      <c r="K1794" s="42">
        <v>1.1022624E-2</v>
      </c>
      <c r="L1794" s="44">
        <v>0.85754244800000001</v>
      </c>
    </row>
    <row r="1795" spans="1:12" hidden="1">
      <c r="A1795" s="41" t="s">
        <v>2616</v>
      </c>
      <c r="B1795" s="41"/>
      <c r="C1795" s="41" t="s">
        <v>2568</v>
      </c>
      <c r="D1795" s="65">
        <v>20250</v>
      </c>
      <c r="E1795" s="42">
        <v>2.39</v>
      </c>
      <c r="F1795" s="43">
        <v>0.21129751999999999</v>
      </c>
      <c r="G1795" s="42">
        <v>0.28295583000000002</v>
      </c>
      <c r="H1795" s="42">
        <v>0.19186254</v>
      </c>
      <c r="I1795" s="42">
        <v>0.14096603999999999</v>
      </c>
      <c r="J1795" s="42">
        <v>1.9437894000000001E-2</v>
      </c>
      <c r="K1795" s="42">
        <v>1.1022624E-2</v>
      </c>
      <c r="L1795" s="44">
        <v>0.85754244800000001</v>
      </c>
    </row>
    <row r="1796" spans="1:12" hidden="1">
      <c r="A1796" s="41" t="s">
        <v>2617</v>
      </c>
      <c r="B1796" s="41"/>
      <c r="C1796" s="41" t="s">
        <v>2568</v>
      </c>
      <c r="D1796" s="65">
        <v>42605</v>
      </c>
      <c r="E1796" s="42">
        <v>2.8</v>
      </c>
      <c r="F1796" s="43">
        <v>1.0691310000000001</v>
      </c>
      <c r="G1796" s="42">
        <v>0.27154470000000003</v>
      </c>
      <c r="H1796" s="42">
        <v>0.19186254</v>
      </c>
      <c r="I1796" s="42">
        <v>0.24327935000000001</v>
      </c>
      <c r="J1796" s="42">
        <v>1.9437894000000001E-2</v>
      </c>
      <c r="K1796" s="42">
        <v>1.1022624E-2</v>
      </c>
      <c r="L1796" s="44">
        <v>1.8062781079999999</v>
      </c>
    </row>
    <row r="1797" spans="1:12" hidden="1">
      <c r="A1797" s="41" t="s">
        <v>2618</v>
      </c>
      <c r="B1797" s="41"/>
      <c r="C1797" s="41" t="s">
        <v>2568</v>
      </c>
      <c r="D1797" s="65">
        <v>42606</v>
      </c>
      <c r="E1797" s="42">
        <v>2.8</v>
      </c>
      <c r="F1797" s="43">
        <v>1.0691310000000001</v>
      </c>
      <c r="G1797" s="42">
        <v>0.27154470000000003</v>
      </c>
      <c r="H1797" s="42">
        <v>0.19186254</v>
      </c>
      <c r="I1797" s="42">
        <v>0.24327935000000001</v>
      </c>
      <c r="J1797" s="42">
        <v>1.9437894000000001E-2</v>
      </c>
      <c r="K1797" s="42">
        <v>1.1022624E-2</v>
      </c>
      <c r="L1797" s="44">
        <v>1.8062781079999999</v>
      </c>
    </row>
    <row r="1798" spans="1:12" hidden="1">
      <c r="A1798" s="41" t="s">
        <v>2619</v>
      </c>
      <c r="B1798" s="41"/>
      <c r="C1798" s="41" t="s">
        <v>2568</v>
      </c>
      <c r="D1798" s="65">
        <v>42603</v>
      </c>
      <c r="E1798" s="42">
        <v>2.4</v>
      </c>
      <c r="F1798" s="43">
        <v>1.0691310000000001</v>
      </c>
      <c r="G1798" s="42">
        <v>0.27154470000000003</v>
      </c>
      <c r="H1798" s="42">
        <v>0.19186254</v>
      </c>
      <c r="I1798" s="42">
        <v>0.24327935000000001</v>
      </c>
      <c r="J1798" s="42">
        <v>1.9437894000000001E-2</v>
      </c>
      <c r="K1798" s="42">
        <v>1.1022624E-2</v>
      </c>
      <c r="L1798" s="44">
        <v>1.8062781079999999</v>
      </c>
    </row>
    <row r="1799" spans="1:12" hidden="1">
      <c r="A1799" s="41" t="s">
        <v>2620</v>
      </c>
      <c r="B1799" s="41"/>
      <c r="C1799" s="41" t="s">
        <v>2568</v>
      </c>
      <c r="D1799" s="65">
        <v>42604</v>
      </c>
      <c r="E1799" s="42">
        <v>2.8</v>
      </c>
      <c r="F1799" s="43">
        <v>1.0691310000000001</v>
      </c>
      <c r="G1799" s="42">
        <v>0.27154470000000003</v>
      </c>
      <c r="H1799" s="42">
        <v>0.19186254</v>
      </c>
      <c r="I1799" s="42">
        <v>0.24327935000000001</v>
      </c>
      <c r="J1799" s="42">
        <v>1.9437894000000001E-2</v>
      </c>
      <c r="K1799" s="42">
        <v>1.1022624E-2</v>
      </c>
      <c r="L1799" s="44">
        <v>1.8062781079999999</v>
      </c>
    </row>
    <row r="1800" spans="1:12" hidden="1">
      <c r="A1800" s="41" t="s">
        <v>2621</v>
      </c>
      <c r="B1800" s="41"/>
      <c r="C1800" s="41" t="s">
        <v>2568</v>
      </c>
      <c r="D1800" s="65">
        <v>20248</v>
      </c>
      <c r="E1800" s="42">
        <v>2.39</v>
      </c>
      <c r="F1800" s="43">
        <v>0.10611761</v>
      </c>
      <c r="G1800" s="42">
        <v>0.28179284999999998</v>
      </c>
      <c r="H1800" s="42">
        <v>0.19186254</v>
      </c>
      <c r="I1800" s="42">
        <v>0.14362058999999999</v>
      </c>
      <c r="J1800" s="42">
        <v>1.9437894000000001E-2</v>
      </c>
      <c r="K1800" s="42">
        <v>1.1022624E-2</v>
      </c>
      <c r="L1800" s="44">
        <v>0.75385410799999986</v>
      </c>
    </row>
    <row r="1801" spans="1:12" hidden="1">
      <c r="A1801" s="37" t="s">
        <v>2622</v>
      </c>
      <c r="B1801" s="37"/>
      <c r="C1801" s="37" t="s">
        <v>826</v>
      </c>
      <c r="D1801" s="64">
        <v>26055</v>
      </c>
      <c r="E1801" s="38">
        <v>3.64</v>
      </c>
      <c r="F1801" s="39">
        <v>9.3213296000000003</v>
      </c>
      <c r="G1801" s="38">
        <v>0</v>
      </c>
      <c r="H1801" s="38">
        <v>0.27530876999999998</v>
      </c>
      <c r="I1801" s="38">
        <v>1.1705296999999999</v>
      </c>
      <c r="J1801" s="38">
        <v>3.7353873000000003E-2</v>
      </c>
      <c r="K1801" s="38">
        <v>6.6736979E-3</v>
      </c>
      <c r="L1801" s="40">
        <v>10.811195640900001</v>
      </c>
    </row>
    <row r="1802" spans="1:12" hidden="1">
      <c r="A1802" s="41" t="s">
        <v>2623</v>
      </c>
      <c r="B1802" s="41"/>
      <c r="C1802" s="41" t="s">
        <v>811</v>
      </c>
      <c r="D1802" s="65">
        <v>20273</v>
      </c>
      <c r="E1802" s="42">
        <v>3.23</v>
      </c>
      <c r="F1802" s="43">
        <v>0.35800678000000002</v>
      </c>
      <c r="G1802" s="42">
        <v>0.22807478</v>
      </c>
      <c r="H1802" s="42">
        <v>0.26251234000000001</v>
      </c>
      <c r="I1802" s="42">
        <v>0.23586151999999999</v>
      </c>
      <c r="J1802" s="42">
        <v>6.5229756E-2</v>
      </c>
      <c r="K1802" s="42">
        <v>3.6274453999999998E-2</v>
      </c>
      <c r="L1802" s="44">
        <v>1.1859596299999999</v>
      </c>
    </row>
    <row r="1803" spans="1:12" hidden="1">
      <c r="A1803" s="41" t="s">
        <v>2624</v>
      </c>
      <c r="B1803" s="41"/>
      <c r="C1803" s="41" t="s">
        <v>811</v>
      </c>
      <c r="D1803" s="65">
        <v>20498</v>
      </c>
      <c r="E1803" s="42">
        <v>3.23</v>
      </c>
      <c r="F1803" s="43">
        <v>0.35800678000000002</v>
      </c>
      <c r="G1803" s="42">
        <v>0.22807478</v>
      </c>
      <c r="H1803" s="42">
        <v>0.26251234000000001</v>
      </c>
      <c r="I1803" s="42">
        <v>0.23586151999999999</v>
      </c>
      <c r="J1803" s="42">
        <v>6.5229756E-2</v>
      </c>
      <c r="K1803" s="42">
        <v>3.6274453999999998E-2</v>
      </c>
      <c r="L1803" s="44">
        <v>1.1859596299999999</v>
      </c>
    </row>
    <row r="1804" spans="1:12" hidden="1">
      <c r="A1804" s="37" t="s">
        <v>2625</v>
      </c>
      <c r="B1804" s="37"/>
      <c r="C1804" s="37" t="s">
        <v>811</v>
      </c>
      <c r="D1804" s="64">
        <v>20274</v>
      </c>
      <c r="E1804" s="38">
        <v>2.79</v>
      </c>
      <c r="F1804" s="39">
        <v>0.35800678000000002</v>
      </c>
      <c r="G1804" s="38">
        <v>0.22807478</v>
      </c>
      <c r="H1804" s="38">
        <v>0.26251234000000001</v>
      </c>
      <c r="I1804" s="38">
        <v>0.23586151999999999</v>
      </c>
      <c r="J1804" s="38">
        <v>6.5229756E-2</v>
      </c>
      <c r="K1804" s="38">
        <v>3.6274453999999998E-2</v>
      </c>
      <c r="L1804" s="40">
        <v>1.1859596299999999</v>
      </c>
    </row>
    <row r="1805" spans="1:12" hidden="1">
      <c r="A1805" s="41" t="s">
        <v>2626</v>
      </c>
      <c r="B1805" s="41"/>
      <c r="C1805" s="41" t="s">
        <v>811</v>
      </c>
      <c r="D1805" s="65">
        <v>20262</v>
      </c>
      <c r="E1805" s="42">
        <v>3.23</v>
      </c>
      <c r="F1805" s="43">
        <v>0.35800678000000002</v>
      </c>
      <c r="G1805" s="42">
        <v>0.22807478</v>
      </c>
      <c r="H1805" s="42">
        <v>0.26251234000000001</v>
      </c>
      <c r="I1805" s="42">
        <v>0.23586151999999999</v>
      </c>
      <c r="J1805" s="42">
        <v>6.5229756E-2</v>
      </c>
      <c r="K1805" s="42">
        <v>3.6274453999999998E-2</v>
      </c>
      <c r="L1805" s="44">
        <v>1.1859596299999999</v>
      </c>
    </row>
    <row r="1806" spans="1:12" hidden="1">
      <c r="A1806" s="41" t="s">
        <v>2627</v>
      </c>
      <c r="B1806" s="41"/>
      <c r="C1806" s="41" t="s">
        <v>811</v>
      </c>
      <c r="D1806" s="65">
        <v>25057</v>
      </c>
      <c r="E1806" s="42">
        <v>1.9</v>
      </c>
      <c r="F1806" s="43">
        <v>1.5318628999999999</v>
      </c>
      <c r="G1806" s="42">
        <v>0.21452358999999999</v>
      </c>
      <c r="H1806" s="42">
        <v>0.21965614</v>
      </c>
      <c r="I1806" s="42">
        <v>0.22874116</v>
      </c>
      <c r="J1806" s="42">
        <v>3.7768032999999999E-2</v>
      </c>
      <c r="K1806" s="42">
        <v>1.7696322E-2</v>
      </c>
      <c r="L1806" s="44">
        <v>2.2502481449999996</v>
      </c>
    </row>
    <row r="1807" spans="1:12" hidden="1">
      <c r="A1807" s="37" t="s">
        <v>2628</v>
      </c>
      <c r="B1807" s="37"/>
      <c r="C1807" s="37" t="s">
        <v>634</v>
      </c>
      <c r="D1807" s="64">
        <v>13735</v>
      </c>
      <c r="E1807" s="38">
        <v>2.84</v>
      </c>
      <c r="F1807" s="39">
        <v>4.3371946000000001E-2</v>
      </c>
      <c r="G1807" s="38">
        <v>0.12750853000000001</v>
      </c>
      <c r="H1807" s="38">
        <v>0.17146364</v>
      </c>
      <c r="I1807" s="38">
        <v>0.13107619000000001</v>
      </c>
      <c r="J1807" s="38">
        <v>1.5811623E-2</v>
      </c>
      <c r="K1807" s="38">
        <v>0</v>
      </c>
      <c r="L1807" s="40">
        <v>0.48923192900000007</v>
      </c>
    </row>
    <row r="1808" spans="1:12" hidden="1">
      <c r="A1808" s="37" t="s">
        <v>2629</v>
      </c>
      <c r="B1808" s="37"/>
      <c r="C1808" s="37" t="s">
        <v>1151</v>
      </c>
      <c r="D1808" s="64">
        <v>39519</v>
      </c>
      <c r="E1808" s="38">
        <v>3.83</v>
      </c>
      <c r="F1808" s="39">
        <v>1.0539407999999999</v>
      </c>
      <c r="G1808" s="38">
        <v>0.21512698</v>
      </c>
      <c r="H1808" s="38">
        <v>0.18042667000000001</v>
      </c>
      <c r="I1808" s="38">
        <v>0.19674195</v>
      </c>
      <c r="J1808" s="38">
        <v>6.5229756E-2</v>
      </c>
      <c r="K1808" s="38">
        <v>2.5251829999999999E-2</v>
      </c>
      <c r="L1808" s="40">
        <v>1.7367179859999999</v>
      </c>
    </row>
    <row r="1809" spans="1:12" hidden="1">
      <c r="A1809" s="37" t="s">
        <v>2630</v>
      </c>
      <c r="B1809" s="37"/>
      <c r="C1809" s="37" t="s">
        <v>634</v>
      </c>
      <c r="D1809" s="64">
        <v>13037</v>
      </c>
      <c r="E1809" s="38">
        <v>2.57</v>
      </c>
      <c r="F1809" s="39">
        <v>7.6599512999999994E-2</v>
      </c>
      <c r="G1809" s="38">
        <v>0</v>
      </c>
      <c r="H1809" s="38">
        <v>0</v>
      </c>
      <c r="I1809" s="38">
        <v>0.24960251</v>
      </c>
      <c r="J1809" s="38">
        <v>5.9401519999999998E-3</v>
      </c>
      <c r="K1809" s="38">
        <v>3.2140419000000003E-2</v>
      </c>
      <c r="L1809" s="40">
        <v>0.36428259399999996</v>
      </c>
    </row>
    <row r="1810" spans="1:12" hidden="1">
      <c r="A1810" s="37" t="s">
        <v>2631</v>
      </c>
      <c r="B1810" s="37"/>
      <c r="C1810" s="37" t="s">
        <v>634</v>
      </c>
      <c r="D1810" s="64">
        <v>13107</v>
      </c>
      <c r="E1810" s="38">
        <v>2.57</v>
      </c>
      <c r="F1810" s="39">
        <v>7.6599512999999994E-2</v>
      </c>
      <c r="G1810" s="38">
        <v>0</v>
      </c>
      <c r="H1810" s="38">
        <v>0</v>
      </c>
      <c r="I1810" s="38">
        <v>0.24960251</v>
      </c>
      <c r="J1810" s="38">
        <v>5.9401519999999998E-3</v>
      </c>
      <c r="K1810" s="38">
        <v>3.2140419000000003E-2</v>
      </c>
      <c r="L1810" s="40">
        <v>0.36428259399999996</v>
      </c>
    </row>
    <row r="1811" spans="1:12" hidden="1">
      <c r="A1811" s="37" t="s">
        <v>2632</v>
      </c>
      <c r="B1811" s="37"/>
      <c r="C1811" s="37" t="s">
        <v>842</v>
      </c>
      <c r="D1811" s="64">
        <v>20039</v>
      </c>
      <c r="E1811" s="38">
        <v>2.2599999999999998</v>
      </c>
      <c r="F1811" s="39">
        <v>0.40243746000000002</v>
      </c>
      <c r="G1811" s="38">
        <v>0</v>
      </c>
      <c r="H1811" s="38">
        <v>0</v>
      </c>
      <c r="I1811" s="38">
        <v>0.27356253000000003</v>
      </c>
      <c r="J1811" s="38">
        <v>1.2514646000000001E-2</v>
      </c>
      <c r="K1811" s="38">
        <v>8.0351048999999994E-2</v>
      </c>
      <c r="L1811" s="40">
        <v>0.76886568499999997</v>
      </c>
    </row>
    <row r="1812" spans="1:12" hidden="1">
      <c r="A1812" s="37" t="s">
        <v>2633</v>
      </c>
      <c r="B1812" s="37"/>
      <c r="C1812" s="37" t="s">
        <v>842</v>
      </c>
      <c r="D1812" s="64">
        <v>20040</v>
      </c>
      <c r="E1812" s="38">
        <v>2.84</v>
      </c>
      <c r="F1812" s="39">
        <v>0.47009847999999999</v>
      </c>
      <c r="G1812" s="38">
        <v>0</v>
      </c>
      <c r="H1812" s="38">
        <v>0.28002042999999999</v>
      </c>
      <c r="I1812" s="38">
        <v>0.3335497</v>
      </c>
      <c r="J1812" s="38">
        <v>1.4618709000000001E-2</v>
      </c>
      <c r="K1812" s="38">
        <v>0.19993026999999999</v>
      </c>
      <c r="L1812" s="40">
        <v>1.2982175890000001</v>
      </c>
    </row>
    <row r="1813" spans="1:12" hidden="1">
      <c r="A1813" s="37" t="s">
        <v>2634</v>
      </c>
      <c r="B1813" s="37"/>
      <c r="C1813" s="37" t="s">
        <v>842</v>
      </c>
      <c r="D1813" s="64">
        <v>20236</v>
      </c>
      <c r="E1813" s="38">
        <v>2.8</v>
      </c>
      <c r="F1813" s="39">
        <v>0.36400468000000002</v>
      </c>
      <c r="G1813" s="38">
        <v>0.12037794</v>
      </c>
      <c r="H1813" s="38">
        <v>0.26232822</v>
      </c>
      <c r="I1813" s="38">
        <v>0.21781585000000001</v>
      </c>
      <c r="J1813" s="38">
        <v>6.8654974999999993E-2</v>
      </c>
      <c r="K1813" s="38">
        <v>2.5251829999999999E-2</v>
      </c>
      <c r="L1813" s="40">
        <v>1.0584334950000001</v>
      </c>
    </row>
    <row r="1814" spans="1:12" hidden="1">
      <c r="A1814" s="41" t="s">
        <v>2635</v>
      </c>
      <c r="B1814" s="41"/>
      <c r="C1814" s="41" t="s">
        <v>1711</v>
      </c>
      <c r="D1814" s="65">
        <v>20506</v>
      </c>
      <c r="E1814" s="42">
        <v>3.29</v>
      </c>
      <c r="F1814" s="43">
        <v>0.16797630999999999</v>
      </c>
      <c r="G1814" s="42">
        <v>0</v>
      </c>
      <c r="H1814" s="42">
        <v>0.11376013</v>
      </c>
      <c r="I1814" s="42">
        <v>5.6277327000000002E-2</v>
      </c>
      <c r="J1814" s="42">
        <v>2.7810721E-2</v>
      </c>
      <c r="K1814" s="42">
        <v>1.1022624E-2</v>
      </c>
      <c r="L1814" s="44">
        <v>0.37684711199999993</v>
      </c>
    </row>
    <row r="1815" spans="1:12" hidden="1">
      <c r="A1815" s="41" t="s">
        <v>2636</v>
      </c>
      <c r="B1815" s="41"/>
      <c r="C1815" s="41" t="s">
        <v>1711</v>
      </c>
      <c r="D1815" s="65">
        <v>20515</v>
      </c>
      <c r="E1815" s="42">
        <v>3.66</v>
      </c>
      <c r="F1815" s="43">
        <v>0.39139233000000001</v>
      </c>
      <c r="G1815" s="42">
        <v>0</v>
      </c>
      <c r="H1815" s="42">
        <v>0.28600683999999998</v>
      </c>
      <c r="I1815" s="42">
        <v>0.1311658</v>
      </c>
      <c r="J1815" s="42">
        <v>6.4800225000000003E-2</v>
      </c>
      <c r="K1815" s="42">
        <v>0</v>
      </c>
      <c r="L1815" s="44">
        <v>0.87336519499999998</v>
      </c>
    </row>
    <row r="1816" spans="1:12" hidden="1">
      <c r="A1816" s="37" t="s">
        <v>2637</v>
      </c>
      <c r="B1816" s="37"/>
      <c r="C1816" s="37" t="s">
        <v>1711</v>
      </c>
      <c r="D1816" s="64">
        <v>20532</v>
      </c>
      <c r="E1816" s="38">
        <v>3.8</v>
      </c>
      <c r="F1816" s="39">
        <v>0.77866807999999998</v>
      </c>
      <c r="G1816" s="38">
        <v>0.37914182000000002</v>
      </c>
      <c r="H1816" s="38">
        <v>0.26086915999999999</v>
      </c>
      <c r="I1816" s="38">
        <v>0.48624731999999998</v>
      </c>
      <c r="J1816" s="38">
        <v>2.4033667000000002E-2</v>
      </c>
      <c r="K1816" s="38">
        <v>0</v>
      </c>
      <c r="L1816" s="40">
        <v>1.9289600469999999</v>
      </c>
    </row>
    <row r="1817" spans="1:12" hidden="1">
      <c r="A1817" s="37" t="s">
        <v>2638</v>
      </c>
      <c r="B1817" s="37"/>
      <c r="C1817" s="37" t="s">
        <v>1711</v>
      </c>
      <c r="D1817" s="64">
        <v>20507</v>
      </c>
      <c r="E1817" s="38">
        <v>3.66</v>
      </c>
      <c r="F1817" s="39">
        <v>0.16795951000000001</v>
      </c>
      <c r="G1817" s="38">
        <v>0</v>
      </c>
      <c r="H1817" s="38">
        <v>0.11375999000000001</v>
      </c>
      <c r="I1817" s="38">
        <v>0.11437406</v>
      </c>
      <c r="J1817" s="38">
        <v>2.7810721E-2</v>
      </c>
      <c r="K1817" s="38">
        <v>1.1022624E-2</v>
      </c>
      <c r="L1817" s="40">
        <v>0.43492690499999997</v>
      </c>
    </row>
    <row r="1818" spans="1:12" hidden="1">
      <c r="A1818" s="37" t="s">
        <v>2639</v>
      </c>
      <c r="B1818" s="37"/>
      <c r="C1818" s="37" t="s">
        <v>1711</v>
      </c>
      <c r="D1818" s="64">
        <v>20516</v>
      </c>
      <c r="E1818" s="38">
        <v>3.98</v>
      </c>
      <c r="F1818" s="39">
        <v>0.39135320000000001</v>
      </c>
      <c r="G1818" s="38">
        <v>0</v>
      </c>
      <c r="H1818" s="38">
        <v>0.26506589000000003</v>
      </c>
      <c r="I1818" s="38">
        <v>0.26649668999999998</v>
      </c>
      <c r="J1818" s="38">
        <v>6.4800225000000003E-2</v>
      </c>
      <c r="K1818" s="38">
        <v>0</v>
      </c>
      <c r="L1818" s="40">
        <v>0.98771600500000001</v>
      </c>
    </row>
    <row r="1819" spans="1:12" hidden="1">
      <c r="A1819" s="41" t="s">
        <v>2640</v>
      </c>
      <c r="B1819" s="41"/>
      <c r="C1819" s="41" t="s">
        <v>842</v>
      </c>
      <c r="D1819" s="65">
        <v>20216</v>
      </c>
      <c r="E1819" s="42">
        <v>2.77</v>
      </c>
      <c r="F1819" s="43">
        <v>0.62229504000000002</v>
      </c>
      <c r="G1819" s="42">
        <v>0</v>
      </c>
      <c r="H1819" s="42">
        <v>0.28002042999999999</v>
      </c>
      <c r="I1819" s="42">
        <v>0.3335497</v>
      </c>
      <c r="J1819" s="42">
        <v>2.9343942000000001E-2</v>
      </c>
      <c r="K1819" s="42">
        <v>0.19993026999999999</v>
      </c>
      <c r="L1819" s="44">
        <v>1.465139382</v>
      </c>
    </row>
    <row r="1820" spans="1:12" hidden="1">
      <c r="A1820" s="41" t="s">
        <v>2641</v>
      </c>
      <c r="B1820" s="41"/>
      <c r="C1820" s="41" t="s">
        <v>842</v>
      </c>
      <c r="D1820" s="65">
        <v>20173</v>
      </c>
      <c r="E1820" s="42">
        <v>2.4300000000000002</v>
      </c>
      <c r="F1820" s="43">
        <v>0.53272845000000002</v>
      </c>
      <c r="G1820" s="42">
        <v>0</v>
      </c>
      <c r="H1820" s="42">
        <v>0</v>
      </c>
      <c r="I1820" s="42">
        <v>0.27356253000000003</v>
      </c>
      <c r="J1820" s="42">
        <v>2.5120483999999998E-2</v>
      </c>
      <c r="K1820" s="42">
        <v>8.0351048999999994E-2</v>
      </c>
      <c r="L1820" s="44">
        <v>0.911762513</v>
      </c>
    </row>
    <row r="1821" spans="1:12" hidden="1">
      <c r="A1821" s="41" t="s">
        <v>2642</v>
      </c>
      <c r="B1821" s="41"/>
      <c r="C1821" s="41" t="s">
        <v>842</v>
      </c>
      <c r="D1821" s="65">
        <v>20243</v>
      </c>
      <c r="E1821" s="42">
        <v>2.92</v>
      </c>
      <c r="F1821" s="43">
        <v>0.62229504000000002</v>
      </c>
      <c r="G1821" s="42">
        <v>0</v>
      </c>
      <c r="H1821" s="42">
        <v>0.28002042999999999</v>
      </c>
      <c r="I1821" s="42">
        <v>0.3335497</v>
      </c>
      <c r="J1821" s="42">
        <v>2.9343942000000001E-2</v>
      </c>
      <c r="K1821" s="42">
        <v>0.19993026999999999</v>
      </c>
      <c r="L1821" s="44">
        <v>1.465139382</v>
      </c>
    </row>
    <row r="1822" spans="1:12" hidden="1">
      <c r="A1822" s="37" t="s">
        <v>2643</v>
      </c>
      <c r="B1822" s="37"/>
      <c r="C1822" s="37" t="s">
        <v>811</v>
      </c>
      <c r="D1822" s="64">
        <v>25086</v>
      </c>
      <c r="E1822" s="38">
        <v>3.27</v>
      </c>
      <c r="F1822" s="39">
        <v>7.4559661000000004</v>
      </c>
      <c r="G1822" s="38">
        <v>0.36777738999999998</v>
      </c>
      <c r="H1822" s="38">
        <v>0.18549789</v>
      </c>
      <c r="I1822" s="38">
        <v>0.78683199000000004</v>
      </c>
      <c r="J1822" s="38">
        <v>3.7768032999999999E-2</v>
      </c>
      <c r="K1822" s="38">
        <v>1.7696322E-2</v>
      </c>
      <c r="L1822" s="40">
        <v>8.8515377250000018</v>
      </c>
    </row>
    <row r="1823" spans="1:12" hidden="1">
      <c r="A1823" s="41" t="s">
        <v>2644</v>
      </c>
      <c r="B1823" s="41"/>
      <c r="C1823" s="41" t="s">
        <v>811</v>
      </c>
      <c r="D1823" s="65">
        <v>25140</v>
      </c>
      <c r="E1823" s="42">
        <v>2.83</v>
      </c>
      <c r="F1823" s="43">
        <v>7.1719194000000002</v>
      </c>
      <c r="G1823" s="42">
        <v>0.21511082000000001</v>
      </c>
      <c r="H1823" s="42">
        <v>0.18549789</v>
      </c>
      <c r="I1823" s="42">
        <v>0.90889797000000006</v>
      </c>
      <c r="J1823" s="42">
        <v>3.7768032999999999E-2</v>
      </c>
      <c r="K1823" s="42">
        <v>1.7696322E-2</v>
      </c>
      <c r="L1823" s="44">
        <v>8.5368904350000019</v>
      </c>
    </row>
    <row r="1824" spans="1:12" hidden="1">
      <c r="A1824" s="41" t="s">
        <v>2645</v>
      </c>
      <c r="B1824" s="41"/>
      <c r="C1824" s="41" t="s">
        <v>811</v>
      </c>
      <c r="D1824" s="65">
        <v>25141</v>
      </c>
      <c r="E1824" s="42">
        <v>2.83</v>
      </c>
      <c r="F1824" s="43">
        <v>7.4559661000000004</v>
      </c>
      <c r="G1824" s="42">
        <v>0.36777738999999998</v>
      </c>
      <c r="H1824" s="42">
        <v>0.18549789</v>
      </c>
      <c r="I1824" s="42">
        <v>0.78683199000000004</v>
      </c>
      <c r="J1824" s="42">
        <v>3.7768032999999999E-2</v>
      </c>
      <c r="K1824" s="42">
        <v>1.7696322E-2</v>
      </c>
      <c r="L1824" s="44">
        <v>8.8515377250000018</v>
      </c>
    </row>
    <row r="1825" spans="1:12" hidden="1">
      <c r="A1825" s="41" t="s">
        <v>2646</v>
      </c>
      <c r="B1825" s="41"/>
      <c r="C1825" s="41" t="s">
        <v>811</v>
      </c>
      <c r="D1825" s="65">
        <v>25143</v>
      </c>
      <c r="E1825" s="42">
        <v>2.83</v>
      </c>
      <c r="F1825" s="43">
        <v>7.9646860000000004</v>
      </c>
      <c r="G1825" s="42">
        <v>0.18661569</v>
      </c>
      <c r="H1825" s="42">
        <v>0.18549789</v>
      </c>
      <c r="I1825" s="42">
        <v>0.96221809999999997</v>
      </c>
      <c r="J1825" s="42">
        <v>3.7768032999999999E-2</v>
      </c>
      <c r="K1825" s="42">
        <v>1.7696322E-2</v>
      </c>
      <c r="L1825" s="44">
        <v>9.354482035000002</v>
      </c>
    </row>
    <row r="1826" spans="1:12" hidden="1">
      <c r="A1826" s="41" t="s">
        <v>2647</v>
      </c>
      <c r="B1826" s="41"/>
      <c r="C1826" s="41" t="s">
        <v>811</v>
      </c>
      <c r="D1826" s="65">
        <v>25128</v>
      </c>
      <c r="E1826" s="42">
        <v>2.83</v>
      </c>
      <c r="F1826" s="43">
        <v>7.7284357000000004</v>
      </c>
      <c r="G1826" s="42">
        <v>0.15330516999999999</v>
      </c>
      <c r="H1826" s="42">
        <v>0.18549789</v>
      </c>
      <c r="I1826" s="42">
        <v>1.0183238999999999</v>
      </c>
      <c r="J1826" s="42">
        <v>3.7768032999999999E-2</v>
      </c>
      <c r="K1826" s="42">
        <v>1.7696322E-2</v>
      </c>
      <c r="L1826" s="44">
        <v>9.1410270150000024</v>
      </c>
    </row>
    <row r="1827" spans="1:12" hidden="1">
      <c r="A1827" s="41" t="s">
        <v>2648</v>
      </c>
      <c r="B1827" s="41"/>
      <c r="C1827" s="41" t="s">
        <v>811</v>
      </c>
      <c r="D1827" s="65">
        <v>25142</v>
      </c>
      <c r="E1827" s="42">
        <v>3.27</v>
      </c>
      <c r="F1827" s="43">
        <v>7.1719194000000002</v>
      </c>
      <c r="G1827" s="42">
        <v>0.21511082000000001</v>
      </c>
      <c r="H1827" s="42">
        <v>0.18549789</v>
      </c>
      <c r="I1827" s="42">
        <v>0.90889797000000006</v>
      </c>
      <c r="J1827" s="42">
        <v>3.7768032999999999E-2</v>
      </c>
      <c r="K1827" s="42">
        <v>1.7696322E-2</v>
      </c>
      <c r="L1827" s="44">
        <v>8.5368904350000019</v>
      </c>
    </row>
    <row r="1828" spans="1:12" hidden="1">
      <c r="A1828" s="41" t="s">
        <v>2649</v>
      </c>
      <c r="B1828" s="41"/>
      <c r="C1828" s="41" t="s">
        <v>811</v>
      </c>
      <c r="D1828" s="65">
        <v>25145</v>
      </c>
      <c r="E1828" s="42">
        <v>3.27</v>
      </c>
      <c r="F1828" s="43">
        <v>7.1719194000000002</v>
      </c>
      <c r="G1828" s="42">
        <v>0.21511082000000001</v>
      </c>
      <c r="H1828" s="42">
        <v>0.18549789</v>
      </c>
      <c r="I1828" s="42">
        <v>0.90889797000000006</v>
      </c>
      <c r="J1828" s="42">
        <v>3.7768032999999999E-2</v>
      </c>
      <c r="K1828" s="42">
        <v>1.7696322E-2</v>
      </c>
      <c r="L1828" s="44">
        <v>8.5368904350000019</v>
      </c>
    </row>
    <row r="1829" spans="1:12" hidden="1">
      <c r="A1829" s="41" t="s">
        <v>2650</v>
      </c>
      <c r="B1829" s="41"/>
      <c r="C1829" s="41" t="s">
        <v>811</v>
      </c>
      <c r="D1829" s="65">
        <v>25146</v>
      </c>
      <c r="E1829" s="42">
        <v>3.27</v>
      </c>
      <c r="F1829" s="43">
        <v>7.1719194000000002</v>
      </c>
      <c r="G1829" s="42">
        <v>0.21511082000000001</v>
      </c>
      <c r="H1829" s="42">
        <v>0.18549789</v>
      </c>
      <c r="I1829" s="42">
        <v>0.90889797000000006</v>
      </c>
      <c r="J1829" s="42">
        <v>3.7768032999999999E-2</v>
      </c>
      <c r="K1829" s="42">
        <v>1.7696322E-2</v>
      </c>
      <c r="L1829" s="44">
        <v>8.5368904350000019</v>
      </c>
    </row>
    <row r="1830" spans="1:12" hidden="1">
      <c r="A1830" s="37" t="s">
        <v>2651</v>
      </c>
      <c r="B1830" s="37"/>
      <c r="C1830" s="37" t="s">
        <v>811</v>
      </c>
      <c r="D1830" s="64">
        <v>26054</v>
      </c>
      <c r="E1830" s="38">
        <v>3.27</v>
      </c>
      <c r="F1830" s="39">
        <v>6.8544501000000002</v>
      </c>
      <c r="G1830" s="38">
        <v>0.64987203999999998</v>
      </c>
      <c r="H1830" s="38">
        <v>0.26251234000000001</v>
      </c>
      <c r="I1830" s="38">
        <v>0.87069565999999998</v>
      </c>
      <c r="J1830" s="38">
        <v>6.5229756E-2</v>
      </c>
      <c r="K1830" s="38">
        <v>3.6274453999999998E-2</v>
      </c>
      <c r="L1830" s="40">
        <v>8.7390343500000007</v>
      </c>
    </row>
    <row r="1831" spans="1:12" hidden="1">
      <c r="A1831" s="37" t="s">
        <v>2652</v>
      </c>
      <c r="B1831" s="37"/>
      <c r="C1831" s="37" t="s">
        <v>782</v>
      </c>
      <c r="D1831" s="64">
        <v>26030</v>
      </c>
      <c r="E1831" s="38">
        <v>3.14</v>
      </c>
      <c r="F1831" s="39">
        <v>6.8749947000000002</v>
      </c>
      <c r="G1831" s="38">
        <v>0.15241165000000001</v>
      </c>
      <c r="H1831" s="38">
        <v>0.27730407000000001</v>
      </c>
      <c r="I1831" s="38">
        <v>0.88199006000000002</v>
      </c>
      <c r="J1831" s="38">
        <v>3.7768032999999999E-2</v>
      </c>
      <c r="K1831" s="38">
        <v>9.2564276000000001E-2</v>
      </c>
      <c r="L1831" s="40">
        <v>8.3170327890000006</v>
      </c>
    </row>
    <row r="1832" spans="1:12" hidden="1">
      <c r="A1832" s="37" t="s">
        <v>2653</v>
      </c>
      <c r="B1832" s="37"/>
      <c r="C1832" s="37" t="s">
        <v>782</v>
      </c>
      <c r="D1832" s="64">
        <v>26029</v>
      </c>
      <c r="E1832" s="38">
        <v>3.52</v>
      </c>
      <c r="F1832" s="39">
        <v>6.5706689999999996</v>
      </c>
      <c r="G1832" s="38">
        <v>0.58994827999999999</v>
      </c>
      <c r="H1832" s="38">
        <v>0.26893861000000002</v>
      </c>
      <c r="I1832" s="38">
        <v>0.84497884000000001</v>
      </c>
      <c r="J1832" s="38">
        <v>6.5229756E-2</v>
      </c>
      <c r="K1832" s="38">
        <v>0.11114241</v>
      </c>
      <c r="L1832" s="40">
        <v>8.4509068959999993</v>
      </c>
    </row>
    <row r="1833" spans="1:12" hidden="1">
      <c r="A1833" s="37" t="s">
        <v>2654</v>
      </c>
      <c r="B1833" s="37"/>
      <c r="C1833" s="37" t="s">
        <v>782</v>
      </c>
      <c r="D1833" s="64">
        <v>26028</v>
      </c>
      <c r="E1833" s="38">
        <v>3.14</v>
      </c>
      <c r="F1833" s="39">
        <v>6.3825332000000001</v>
      </c>
      <c r="G1833" s="38">
        <v>0.17323485999999999</v>
      </c>
      <c r="H1833" s="38">
        <v>0.27731637999999997</v>
      </c>
      <c r="I1833" s="38">
        <v>0.86609966000000005</v>
      </c>
      <c r="J1833" s="38">
        <v>3.7768032999999999E-2</v>
      </c>
      <c r="K1833" s="38">
        <v>9.2564276000000001E-2</v>
      </c>
      <c r="L1833" s="40">
        <v>7.829516409</v>
      </c>
    </row>
    <row r="1834" spans="1:12" hidden="1">
      <c r="A1834" s="37" t="s">
        <v>2655</v>
      </c>
      <c r="B1834" s="37"/>
      <c r="C1834" s="37" t="s">
        <v>631</v>
      </c>
      <c r="D1834" s="64">
        <v>28550</v>
      </c>
      <c r="E1834" s="38">
        <v>2.4900000000000002</v>
      </c>
      <c r="F1834" s="39">
        <v>6.8502369999999999</v>
      </c>
      <c r="G1834" s="38">
        <v>0.34831201000000001</v>
      </c>
      <c r="H1834" s="38">
        <v>0.34778568999999998</v>
      </c>
      <c r="I1834" s="38">
        <v>0.25795126000000002</v>
      </c>
      <c r="J1834" s="38">
        <v>4.7187537000000002E-2</v>
      </c>
      <c r="K1834" s="38">
        <v>9.4321172999999994E-2</v>
      </c>
      <c r="L1834" s="40">
        <v>7.9457946699999997</v>
      </c>
    </row>
    <row r="1835" spans="1:12" hidden="1">
      <c r="A1835" s="37" t="s">
        <v>2656</v>
      </c>
      <c r="B1835" s="37"/>
      <c r="C1835" s="37" t="s">
        <v>631</v>
      </c>
      <c r="D1835" s="64">
        <v>28502</v>
      </c>
      <c r="E1835" s="38">
        <v>2.91</v>
      </c>
      <c r="F1835" s="39">
        <v>5.4226793999999998</v>
      </c>
      <c r="G1835" s="38">
        <v>0.27572540000000001</v>
      </c>
      <c r="H1835" s="38">
        <v>0.16951947000000001</v>
      </c>
      <c r="I1835" s="38">
        <v>0.20419541999999999</v>
      </c>
      <c r="J1835" s="38">
        <v>3.7353873000000003E-2</v>
      </c>
      <c r="K1835" s="38">
        <v>6.6736979E-3</v>
      </c>
      <c r="L1835" s="40">
        <v>6.1161472608999992</v>
      </c>
    </row>
    <row r="1836" spans="1:12" hidden="1">
      <c r="A1836" s="41" t="s">
        <v>2657</v>
      </c>
      <c r="B1836" s="41"/>
      <c r="C1836" s="41" t="s">
        <v>1199</v>
      </c>
      <c r="D1836" s="65">
        <v>11019</v>
      </c>
      <c r="E1836" s="42">
        <v>4.3099999999999996</v>
      </c>
      <c r="F1836" s="43">
        <v>6.8743721000000004</v>
      </c>
      <c r="G1836" s="42">
        <v>0.44480792000000002</v>
      </c>
      <c r="H1836" s="42">
        <v>0.47782284000000003</v>
      </c>
      <c r="I1836" s="42">
        <v>0.33418850999999999</v>
      </c>
      <c r="J1836" s="42">
        <v>1.5675970000000001E-2</v>
      </c>
      <c r="K1836" s="42">
        <v>0</v>
      </c>
      <c r="L1836" s="44">
        <v>8.14686734</v>
      </c>
    </row>
    <row r="1837" spans="1:12" hidden="1">
      <c r="A1837" s="37" t="s">
        <v>2658</v>
      </c>
      <c r="B1837" s="37"/>
      <c r="C1837" s="37" t="s">
        <v>1199</v>
      </c>
      <c r="D1837" s="64">
        <v>11088</v>
      </c>
      <c r="E1837" s="38">
        <v>4.3099999999999996</v>
      </c>
      <c r="F1837" s="39">
        <v>6.8743721000000004</v>
      </c>
      <c r="G1837" s="38">
        <v>0.44480792000000002</v>
      </c>
      <c r="H1837" s="38">
        <v>0.47782284000000003</v>
      </c>
      <c r="I1837" s="38">
        <v>0.33418850999999999</v>
      </c>
      <c r="J1837" s="38">
        <v>1.5675970000000001E-2</v>
      </c>
      <c r="K1837" s="38">
        <v>0</v>
      </c>
      <c r="L1837" s="40">
        <v>8.14686734</v>
      </c>
    </row>
    <row r="1838" spans="1:12" hidden="1">
      <c r="A1838" s="37" t="s">
        <v>2659</v>
      </c>
      <c r="B1838" s="37"/>
      <c r="C1838" s="37" t="s">
        <v>1199</v>
      </c>
      <c r="D1838" s="64">
        <v>11015</v>
      </c>
      <c r="E1838" s="38">
        <v>2.34</v>
      </c>
      <c r="F1838" s="39">
        <v>6.8743721000000004</v>
      </c>
      <c r="G1838" s="38">
        <v>0.44600464000000001</v>
      </c>
      <c r="H1838" s="38">
        <v>0.47782284000000003</v>
      </c>
      <c r="I1838" s="38">
        <v>0.33418850999999999</v>
      </c>
      <c r="J1838" s="38">
        <v>1.5675970000000001E-2</v>
      </c>
      <c r="K1838" s="38">
        <v>0</v>
      </c>
      <c r="L1838" s="40">
        <v>8.1480640600000012</v>
      </c>
    </row>
    <row r="1839" spans="1:12" hidden="1">
      <c r="A1839" s="41" t="s">
        <v>2660</v>
      </c>
      <c r="B1839" s="41"/>
      <c r="C1839" s="41" t="s">
        <v>842</v>
      </c>
      <c r="D1839" s="65">
        <v>20168</v>
      </c>
      <c r="E1839" s="42">
        <v>2.4300000000000002</v>
      </c>
      <c r="F1839" s="43">
        <v>0.75605781999999999</v>
      </c>
      <c r="G1839" s="42">
        <v>0</v>
      </c>
      <c r="H1839" s="42">
        <v>0</v>
      </c>
      <c r="I1839" s="42">
        <v>0.32592714</v>
      </c>
      <c r="J1839" s="42">
        <v>2.1283765E-2</v>
      </c>
      <c r="K1839" s="42">
        <v>8.0351048999999994E-2</v>
      </c>
      <c r="L1839" s="44">
        <v>1.1836197739999998</v>
      </c>
    </row>
    <row r="1840" spans="1:12" hidden="1">
      <c r="A1840" s="41" t="s">
        <v>2661</v>
      </c>
      <c r="B1840" s="41"/>
      <c r="C1840" s="41" t="s">
        <v>842</v>
      </c>
      <c r="D1840" s="65">
        <v>20275</v>
      </c>
      <c r="E1840" s="42">
        <v>3.03</v>
      </c>
      <c r="F1840" s="43">
        <v>0.51443212999999999</v>
      </c>
      <c r="G1840" s="42">
        <v>0.17886552</v>
      </c>
      <c r="H1840" s="42">
        <v>0.24204822000000001</v>
      </c>
      <c r="I1840" s="42">
        <v>0.33258140000000003</v>
      </c>
      <c r="J1840" s="42">
        <v>2.2294389000000001E-2</v>
      </c>
      <c r="K1840" s="42">
        <v>1.1022624E-2</v>
      </c>
      <c r="L1840" s="44">
        <v>1.3012442829999999</v>
      </c>
    </row>
    <row r="1841" spans="1:12" hidden="1">
      <c r="A1841" s="41" t="s">
        <v>2662</v>
      </c>
      <c r="B1841" s="41"/>
      <c r="C1841" s="41" t="s">
        <v>842</v>
      </c>
      <c r="D1841" s="65">
        <v>20087</v>
      </c>
      <c r="E1841" s="42">
        <v>2.4300000000000002</v>
      </c>
      <c r="F1841" s="43">
        <v>0.75605781999999999</v>
      </c>
      <c r="G1841" s="42">
        <v>0</v>
      </c>
      <c r="H1841" s="42">
        <v>0</v>
      </c>
      <c r="I1841" s="42">
        <v>0.32592714</v>
      </c>
      <c r="J1841" s="42">
        <v>2.1283765E-2</v>
      </c>
      <c r="K1841" s="42">
        <v>8.0351048999999994E-2</v>
      </c>
      <c r="L1841" s="44">
        <v>1.1836197739999998</v>
      </c>
    </row>
    <row r="1842" spans="1:12" hidden="1">
      <c r="A1842" s="41" t="s">
        <v>2663</v>
      </c>
      <c r="B1842" s="41"/>
      <c r="C1842" s="41" t="s">
        <v>842</v>
      </c>
      <c r="D1842" s="65">
        <v>20088</v>
      </c>
      <c r="E1842" s="42">
        <v>2.92</v>
      </c>
      <c r="F1842" s="43">
        <v>0.88317232999999995</v>
      </c>
      <c r="G1842" s="42">
        <v>0</v>
      </c>
      <c r="H1842" s="42">
        <v>0.28002042999999999</v>
      </c>
      <c r="I1842" s="42">
        <v>0.39471825999999999</v>
      </c>
      <c r="J1842" s="42">
        <v>2.4862162E-2</v>
      </c>
      <c r="K1842" s="42">
        <v>0.19993026999999999</v>
      </c>
      <c r="L1842" s="44">
        <v>1.7827034519999998</v>
      </c>
    </row>
    <row r="1843" spans="1:12" hidden="1">
      <c r="A1843" s="41" t="s">
        <v>2664</v>
      </c>
      <c r="B1843" s="41"/>
      <c r="C1843" s="41" t="s">
        <v>842</v>
      </c>
      <c r="D1843" s="65">
        <v>20085</v>
      </c>
      <c r="E1843" s="42">
        <v>2.4300000000000002</v>
      </c>
      <c r="F1843" s="43">
        <v>0.75605781999999999</v>
      </c>
      <c r="G1843" s="42">
        <v>0</v>
      </c>
      <c r="H1843" s="42">
        <v>0</v>
      </c>
      <c r="I1843" s="42">
        <v>0.32592714</v>
      </c>
      <c r="J1843" s="42">
        <v>2.1283765E-2</v>
      </c>
      <c r="K1843" s="42">
        <v>8.0351048999999994E-2</v>
      </c>
      <c r="L1843" s="44">
        <v>1.1836197739999998</v>
      </c>
    </row>
    <row r="1844" spans="1:12" hidden="1">
      <c r="A1844" s="41" t="s">
        <v>2665</v>
      </c>
      <c r="B1844" s="41"/>
      <c r="C1844" s="41" t="s">
        <v>842</v>
      </c>
      <c r="D1844" s="65">
        <v>20086</v>
      </c>
      <c r="E1844" s="42">
        <v>2.92</v>
      </c>
      <c r="F1844" s="43">
        <v>0.88317232999999995</v>
      </c>
      <c r="G1844" s="42">
        <v>0</v>
      </c>
      <c r="H1844" s="42">
        <v>0.28002042999999999</v>
      </c>
      <c r="I1844" s="42">
        <v>0.39471825999999999</v>
      </c>
      <c r="J1844" s="42">
        <v>2.4862162E-2</v>
      </c>
      <c r="K1844" s="42">
        <v>0.19993026999999999</v>
      </c>
      <c r="L1844" s="44">
        <v>1.7827034519999998</v>
      </c>
    </row>
    <row r="1845" spans="1:12" hidden="1">
      <c r="A1845" s="41" t="s">
        <v>2666</v>
      </c>
      <c r="B1845" s="41"/>
      <c r="C1845" s="41" t="s">
        <v>842</v>
      </c>
      <c r="D1845" s="65">
        <v>20041</v>
      </c>
      <c r="E1845" s="42">
        <v>2.4300000000000002</v>
      </c>
      <c r="F1845" s="43">
        <v>0.75605781999999999</v>
      </c>
      <c r="G1845" s="42">
        <v>0</v>
      </c>
      <c r="H1845" s="42">
        <v>0</v>
      </c>
      <c r="I1845" s="42">
        <v>0.32592714</v>
      </c>
      <c r="J1845" s="42">
        <v>2.1283765E-2</v>
      </c>
      <c r="K1845" s="42">
        <v>8.0351048999999994E-2</v>
      </c>
      <c r="L1845" s="44">
        <v>1.1836197739999998</v>
      </c>
    </row>
    <row r="1846" spans="1:12" hidden="1">
      <c r="A1846" s="37" t="s">
        <v>2667</v>
      </c>
      <c r="B1846" s="37"/>
      <c r="C1846" s="37" t="s">
        <v>816</v>
      </c>
      <c r="D1846" s="64">
        <v>9615</v>
      </c>
      <c r="E1846" s="38">
        <v>2.56</v>
      </c>
      <c r="F1846" s="39">
        <v>0.30104639999999999</v>
      </c>
      <c r="G1846" s="38">
        <v>0.26119943000000001</v>
      </c>
      <c r="H1846" s="38">
        <v>8.0555266E-2</v>
      </c>
      <c r="I1846" s="38">
        <v>5.0122866000000002E-2</v>
      </c>
      <c r="J1846" s="38">
        <v>7.1090323999999996E-3</v>
      </c>
      <c r="K1846" s="38">
        <v>1.1022624E-2</v>
      </c>
      <c r="L1846" s="40">
        <v>0.71105561839999998</v>
      </c>
    </row>
    <row r="1847" spans="1:12" hidden="1">
      <c r="A1847" s="37" t="s">
        <v>2668</v>
      </c>
      <c r="B1847" s="37"/>
      <c r="C1847" s="37" t="s">
        <v>816</v>
      </c>
      <c r="D1847" s="64">
        <v>9614</v>
      </c>
      <c r="E1847" s="38">
        <v>3.19</v>
      </c>
      <c r="F1847" s="39">
        <v>0.68012547000000001</v>
      </c>
      <c r="G1847" s="38">
        <v>0.59010300999999998</v>
      </c>
      <c r="H1847" s="38">
        <v>0.26506589000000003</v>
      </c>
      <c r="I1847" s="38">
        <v>0.11323782</v>
      </c>
      <c r="J1847" s="38">
        <v>1.606076E-2</v>
      </c>
      <c r="K1847" s="38">
        <v>0</v>
      </c>
      <c r="L1847" s="40">
        <v>1.6645929500000001</v>
      </c>
    </row>
    <row r="1848" spans="1:12" hidden="1">
      <c r="A1848" s="37" t="s">
        <v>2669</v>
      </c>
      <c r="B1848" s="37"/>
      <c r="C1848" s="37" t="s">
        <v>634</v>
      </c>
      <c r="D1848" s="64">
        <v>13179</v>
      </c>
      <c r="E1848" s="38">
        <v>2.36</v>
      </c>
      <c r="F1848" s="39">
        <v>0.25765759999999999</v>
      </c>
      <c r="G1848" s="38">
        <v>0</v>
      </c>
      <c r="H1848" s="38">
        <v>0</v>
      </c>
      <c r="I1848" s="38">
        <v>0.46262808</v>
      </c>
      <c r="J1848" s="38">
        <v>1.5004353999999999E-2</v>
      </c>
      <c r="K1848" s="38">
        <v>0.13756958</v>
      </c>
      <c r="L1848" s="40">
        <v>0.87285961399999989</v>
      </c>
    </row>
    <row r="1849" spans="1:12" hidden="1">
      <c r="A1849" s="37" t="s">
        <v>2670</v>
      </c>
      <c r="B1849" s="37"/>
      <c r="C1849" s="37" t="s">
        <v>634</v>
      </c>
      <c r="D1849" s="64">
        <v>13180</v>
      </c>
      <c r="E1849" s="38">
        <v>2.36</v>
      </c>
      <c r="F1849" s="39">
        <v>0.25765759999999999</v>
      </c>
      <c r="G1849" s="38">
        <v>0</v>
      </c>
      <c r="H1849" s="38">
        <v>0</v>
      </c>
      <c r="I1849" s="38">
        <v>0.46262808</v>
      </c>
      <c r="J1849" s="38">
        <v>1.5004353999999999E-2</v>
      </c>
      <c r="K1849" s="38">
        <v>0.13756958</v>
      </c>
      <c r="L1849" s="40">
        <v>0.87285961399999989</v>
      </c>
    </row>
    <row r="1850" spans="1:12" hidden="1">
      <c r="A1850" s="37" t="s">
        <v>2671</v>
      </c>
      <c r="B1850" s="37"/>
      <c r="C1850" s="37" t="s">
        <v>634</v>
      </c>
      <c r="D1850" s="64">
        <v>13040</v>
      </c>
      <c r="E1850" s="38">
        <v>2.36</v>
      </c>
      <c r="F1850" s="39">
        <v>0.25765759999999999</v>
      </c>
      <c r="G1850" s="38">
        <v>0</v>
      </c>
      <c r="H1850" s="38">
        <v>0</v>
      </c>
      <c r="I1850" s="38">
        <v>0.46262808</v>
      </c>
      <c r="J1850" s="38">
        <v>1.5004353999999999E-2</v>
      </c>
      <c r="K1850" s="38">
        <v>0.13756958</v>
      </c>
      <c r="L1850" s="40">
        <v>0.87285961399999989</v>
      </c>
    </row>
    <row r="1851" spans="1:12" hidden="1">
      <c r="A1851" s="37" t="s">
        <v>2672</v>
      </c>
      <c r="B1851" s="37"/>
      <c r="C1851" s="37" t="s">
        <v>634</v>
      </c>
      <c r="D1851" s="64">
        <v>13085</v>
      </c>
      <c r="E1851" s="38">
        <v>2.2599999999999998</v>
      </c>
      <c r="F1851" s="39">
        <v>0.10991945</v>
      </c>
      <c r="G1851" s="38">
        <v>0</v>
      </c>
      <c r="H1851" s="38">
        <v>0</v>
      </c>
      <c r="I1851" s="38">
        <v>0.24073502999999999</v>
      </c>
      <c r="J1851" s="38">
        <v>1.3720184E-2</v>
      </c>
      <c r="K1851" s="38">
        <v>3.2140419000000003E-2</v>
      </c>
      <c r="L1851" s="40">
        <v>0.39651508300000005</v>
      </c>
    </row>
    <row r="1852" spans="1:12" hidden="1">
      <c r="A1852" s="37" t="s">
        <v>2673</v>
      </c>
      <c r="B1852" s="37"/>
      <c r="C1852" s="37" t="s">
        <v>628</v>
      </c>
      <c r="D1852" s="64">
        <v>4020</v>
      </c>
      <c r="E1852" s="38">
        <v>2.35</v>
      </c>
      <c r="F1852" s="39">
        <v>1.3494149</v>
      </c>
      <c r="G1852" s="38">
        <v>9.4608684999999998E-2</v>
      </c>
      <c r="H1852" s="38">
        <v>0.28120845</v>
      </c>
      <c r="I1852" s="38">
        <v>0.22585337999999999</v>
      </c>
      <c r="J1852" s="38">
        <v>0.10785164999999999</v>
      </c>
      <c r="K1852" s="38">
        <v>2.5251829999999999E-2</v>
      </c>
      <c r="L1852" s="40">
        <v>2.0841888950000005</v>
      </c>
    </row>
    <row r="1853" spans="1:12" hidden="1">
      <c r="A1853" s="37" t="s">
        <v>2674</v>
      </c>
      <c r="B1853" s="37"/>
      <c r="C1853" s="37" t="s">
        <v>628</v>
      </c>
      <c r="D1853" s="64">
        <v>4021</v>
      </c>
      <c r="E1853" s="38">
        <v>2.73</v>
      </c>
      <c r="F1853" s="39">
        <v>1.9213098</v>
      </c>
      <c r="G1853" s="38">
        <v>0.13470475000000001</v>
      </c>
      <c r="H1853" s="38">
        <v>0.40038727000000002</v>
      </c>
      <c r="I1853" s="38">
        <v>0.32157218999999998</v>
      </c>
      <c r="J1853" s="38">
        <v>0.15356021</v>
      </c>
      <c r="K1853" s="38">
        <v>0.12184436999999999</v>
      </c>
      <c r="L1853" s="40">
        <v>3.0533785899999999</v>
      </c>
    </row>
    <row r="1854" spans="1:12" hidden="1">
      <c r="A1854" s="41" t="s">
        <v>2675</v>
      </c>
      <c r="B1854" s="41"/>
      <c r="C1854" s="41" t="s">
        <v>628</v>
      </c>
      <c r="D1854" s="65">
        <v>4028</v>
      </c>
      <c r="E1854" s="42">
        <v>2.7</v>
      </c>
      <c r="F1854" s="43">
        <v>0.14999625999999999</v>
      </c>
      <c r="G1854" s="42">
        <v>0</v>
      </c>
      <c r="H1854" s="42">
        <v>0.16113430000000001</v>
      </c>
      <c r="I1854" s="42">
        <v>0.21416936</v>
      </c>
      <c r="J1854" s="42">
        <v>1.4347131000000001E-2</v>
      </c>
      <c r="K1854" s="42">
        <v>0.11006381</v>
      </c>
      <c r="L1854" s="44">
        <v>0.64971086099999997</v>
      </c>
    </row>
    <row r="1855" spans="1:12" hidden="1">
      <c r="A1855" s="37" t="s">
        <v>2676</v>
      </c>
      <c r="B1855" s="37"/>
      <c r="C1855" s="37" t="s">
        <v>628</v>
      </c>
      <c r="D1855" s="64">
        <v>4042</v>
      </c>
      <c r="E1855" s="38">
        <v>2.35</v>
      </c>
      <c r="F1855" s="39">
        <v>0.97686050000000002</v>
      </c>
      <c r="G1855" s="38">
        <v>8.6531609999999995E-2</v>
      </c>
      <c r="H1855" s="38">
        <v>0.28118162000000002</v>
      </c>
      <c r="I1855" s="38">
        <v>0.24148426000000001</v>
      </c>
      <c r="J1855" s="38">
        <v>0.10785164999999999</v>
      </c>
      <c r="K1855" s="38">
        <v>2.5251829999999999E-2</v>
      </c>
      <c r="L1855" s="40">
        <v>1.71916147</v>
      </c>
    </row>
    <row r="1856" spans="1:12" hidden="1">
      <c r="A1856" s="37" t="s">
        <v>2677</v>
      </c>
      <c r="B1856" s="37"/>
      <c r="C1856" s="37" t="s">
        <v>628</v>
      </c>
      <c r="D1856" s="64">
        <v>4034</v>
      </c>
      <c r="E1856" s="38">
        <v>2.73</v>
      </c>
      <c r="F1856" s="39">
        <v>1.3908632999999999</v>
      </c>
      <c r="G1856" s="38">
        <v>0.12320453000000001</v>
      </c>
      <c r="H1856" s="38">
        <v>0.40034906999999997</v>
      </c>
      <c r="I1856" s="38">
        <v>0.34382758000000002</v>
      </c>
      <c r="J1856" s="38">
        <v>0.15356021</v>
      </c>
      <c r="K1856" s="38">
        <v>0.12184436999999999</v>
      </c>
      <c r="L1856" s="40">
        <v>2.5336490600000001</v>
      </c>
    </row>
    <row r="1857" spans="1:12" hidden="1">
      <c r="A1857" s="37" t="s">
        <v>2678</v>
      </c>
      <c r="B1857" s="37"/>
      <c r="C1857" s="37" t="s">
        <v>628</v>
      </c>
      <c r="D1857" s="64">
        <v>4013</v>
      </c>
      <c r="E1857" s="38">
        <v>2.52</v>
      </c>
      <c r="F1857" s="39">
        <v>2.4691548999999999</v>
      </c>
      <c r="G1857" s="38">
        <v>0.31454936999999999</v>
      </c>
      <c r="H1857" s="38">
        <v>0.28118162000000002</v>
      </c>
      <c r="I1857" s="38">
        <v>0.23249912</v>
      </c>
      <c r="J1857" s="38">
        <v>0.10785164999999999</v>
      </c>
      <c r="K1857" s="38">
        <v>2.5251829999999999E-2</v>
      </c>
      <c r="L1857" s="40">
        <v>3.4304884900000001</v>
      </c>
    </row>
    <row r="1858" spans="1:12" hidden="1">
      <c r="A1858" s="37" t="s">
        <v>2679</v>
      </c>
      <c r="B1858" s="37"/>
      <c r="C1858" s="37" t="s">
        <v>628</v>
      </c>
      <c r="D1858" s="64">
        <v>4035</v>
      </c>
      <c r="E1858" s="38">
        <v>2.82</v>
      </c>
      <c r="F1858" s="39">
        <v>3.5156063</v>
      </c>
      <c r="G1858" s="38">
        <v>0.44785839</v>
      </c>
      <c r="H1858" s="38">
        <v>0.40034906999999997</v>
      </c>
      <c r="I1858" s="38">
        <v>0.33103445999999997</v>
      </c>
      <c r="J1858" s="38">
        <v>0.15356021</v>
      </c>
      <c r="K1858" s="38">
        <v>0.12184436999999999</v>
      </c>
      <c r="L1858" s="40">
        <v>4.9702527999999999</v>
      </c>
    </row>
    <row r="1859" spans="1:12" hidden="1">
      <c r="A1859" s="37" t="s">
        <v>2680</v>
      </c>
      <c r="B1859" s="37"/>
      <c r="C1859" s="37" t="s">
        <v>628</v>
      </c>
      <c r="D1859" s="64">
        <v>4023</v>
      </c>
      <c r="E1859" s="38">
        <v>2.39</v>
      </c>
      <c r="F1859" s="39">
        <v>0.10218809</v>
      </c>
      <c r="G1859" s="38">
        <v>0</v>
      </c>
      <c r="H1859" s="38">
        <v>0.10977533</v>
      </c>
      <c r="I1859" s="38">
        <v>0.14590734999999999</v>
      </c>
      <c r="J1859" s="38">
        <v>9.7742826999999994E-3</v>
      </c>
      <c r="K1859" s="38">
        <v>0</v>
      </c>
      <c r="L1859" s="40">
        <v>0.36764505270000003</v>
      </c>
    </row>
    <row r="1860" spans="1:12" hidden="1">
      <c r="A1860" s="37" t="s">
        <v>2681</v>
      </c>
      <c r="B1860" s="37"/>
      <c r="C1860" s="37" t="s">
        <v>628</v>
      </c>
      <c r="D1860" s="64">
        <v>4029</v>
      </c>
      <c r="E1860" s="38">
        <v>2.7</v>
      </c>
      <c r="F1860" s="39">
        <v>0.14999625999999999</v>
      </c>
      <c r="G1860" s="38">
        <v>0</v>
      </c>
      <c r="H1860" s="38">
        <v>0.16113430000000001</v>
      </c>
      <c r="I1860" s="38">
        <v>0.21416936</v>
      </c>
      <c r="J1860" s="38">
        <v>1.4347131000000001E-2</v>
      </c>
      <c r="K1860" s="38">
        <v>0.11006381</v>
      </c>
      <c r="L1860" s="40">
        <v>0.64971086099999997</v>
      </c>
    </row>
    <row r="1861" spans="1:12" hidden="1">
      <c r="A1861" s="41" t="s">
        <v>2682</v>
      </c>
      <c r="B1861" s="41"/>
      <c r="C1861" s="41" t="s">
        <v>628</v>
      </c>
      <c r="D1861" s="65">
        <v>4043</v>
      </c>
      <c r="E1861" s="42">
        <v>2.39</v>
      </c>
      <c r="F1861" s="43">
        <v>0.12364759</v>
      </c>
      <c r="G1861" s="42">
        <v>0.11160111</v>
      </c>
      <c r="H1861" s="42">
        <v>0.30092340000000001</v>
      </c>
      <c r="I1861" s="42">
        <v>0.25457823000000002</v>
      </c>
      <c r="J1861" s="42">
        <v>0.11863681</v>
      </c>
      <c r="K1861" s="42">
        <v>5.7392248999999999E-2</v>
      </c>
      <c r="L1861" s="44">
        <v>0.96677938900000004</v>
      </c>
    </row>
    <row r="1862" spans="1:12" hidden="1">
      <c r="A1862" s="41" t="s">
        <v>2683</v>
      </c>
      <c r="B1862" s="41"/>
      <c r="C1862" s="41" t="s">
        <v>628</v>
      </c>
      <c r="D1862" s="65">
        <v>4027</v>
      </c>
      <c r="E1862" s="42">
        <v>2.77</v>
      </c>
      <c r="F1862" s="43">
        <v>0.17782771</v>
      </c>
      <c r="G1862" s="42">
        <v>0.16050268000000001</v>
      </c>
      <c r="H1862" s="42">
        <v>0.43157868999999999</v>
      </c>
      <c r="I1862" s="42">
        <v>0.36612765000000003</v>
      </c>
      <c r="J1862" s="42">
        <v>0.17062131</v>
      </c>
      <c r="K1862" s="42">
        <v>0.15398479000000001</v>
      </c>
      <c r="L1862" s="44">
        <v>1.4606428299999998</v>
      </c>
    </row>
    <row r="1863" spans="1:12" hidden="1">
      <c r="A1863" s="41" t="s">
        <v>2684</v>
      </c>
      <c r="B1863" s="41"/>
      <c r="C1863" s="41" t="s">
        <v>628</v>
      </c>
      <c r="D1863" s="65">
        <v>4036</v>
      </c>
      <c r="E1863" s="42">
        <v>2.85</v>
      </c>
      <c r="F1863" s="43">
        <v>0.15316273999999999</v>
      </c>
      <c r="G1863" s="42">
        <v>0</v>
      </c>
      <c r="H1863" s="42">
        <v>0.25218538000000001</v>
      </c>
      <c r="I1863" s="42">
        <v>0.21264548</v>
      </c>
      <c r="J1863" s="42">
        <v>1.2279083999999999E-2</v>
      </c>
      <c r="K1863" s="42">
        <v>4.3163043999999998E-2</v>
      </c>
      <c r="L1863" s="44">
        <v>0.67343572799999996</v>
      </c>
    </row>
    <row r="1864" spans="1:12" hidden="1">
      <c r="A1864" s="41" t="s">
        <v>2685</v>
      </c>
      <c r="B1864" s="41"/>
      <c r="C1864" s="41" t="s">
        <v>628</v>
      </c>
      <c r="D1864" s="65">
        <v>4014</v>
      </c>
      <c r="E1864" s="42">
        <v>2.85</v>
      </c>
      <c r="F1864" s="43">
        <v>0.16167177999999999</v>
      </c>
      <c r="G1864" s="42">
        <v>0</v>
      </c>
      <c r="H1864" s="42">
        <v>0.29556500000000002</v>
      </c>
      <c r="I1864" s="42">
        <v>0.22228476</v>
      </c>
      <c r="J1864" s="42">
        <v>1.5463893000000001E-2</v>
      </c>
      <c r="K1864" s="42">
        <v>0.12807962000000001</v>
      </c>
      <c r="L1864" s="44">
        <v>0.82306505299999988</v>
      </c>
    </row>
    <row r="1865" spans="1:12" hidden="1">
      <c r="A1865" s="41" t="s">
        <v>2686</v>
      </c>
      <c r="B1865" s="41"/>
      <c r="C1865" s="41" t="s">
        <v>628</v>
      </c>
      <c r="D1865" s="65">
        <v>4003</v>
      </c>
      <c r="E1865" s="42">
        <v>2.63</v>
      </c>
      <c r="F1865" s="43">
        <v>0.16167177999999999</v>
      </c>
      <c r="G1865" s="42">
        <v>0</v>
      </c>
      <c r="H1865" s="42">
        <v>0.29556500000000002</v>
      </c>
      <c r="I1865" s="42">
        <v>0.22228476</v>
      </c>
      <c r="J1865" s="42">
        <v>1.5463893000000001E-2</v>
      </c>
      <c r="K1865" s="42">
        <v>0.12807962000000001</v>
      </c>
      <c r="L1865" s="44">
        <v>0.82306505299999988</v>
      </c>
    </row>
    <row r="1866" spans="1:12" hidden="1">
      <c r="A1866" s="37" t="s">
        <v>2687</v>
      </c>
      <c r="B1866" s="37"/>
      <c r="C1866" s="37" t="s">
        <v>628</v>
      </c>
      <c r="D1866" s="64">
        <v>4016</v>
      </c>
      <c r="E1866" s="38">
        <v>2.98</v>
      </c>
      <c r="F1866" s="39">
        <v>0.82605538999999994</v>
      </c>
      <c r="G1866" s="38">
        <v>0.18028083</v>
      </c>
      <c r="H1866" s="38">
        <v>0.10977533</v>
      </c>
      <c r="I1866" s="38">
        <v>0.15619942000000001</v>
      </c>
      <c r="J1866" s="38">
        <v>1.9444221000000001E-2</v>
      </c>
      <c r="K1866" s="38">
        <v>1.1022624E-2</v>
      </c>
      <c r="L1866" s="40">
        <v>1.302777815</v>
      </c>
    </row>
    <row r="1867" spans="1:12" hidden="1">
      <c r="A1867" s="37" t="s">
        <v>2688</v>
      </c>
      <c r="B1867" s="37"/>
      <c r="C1867" s="37" t="s">
        <v>628</v>
      </c>
      <c r="D1867" s="64">
        <v>4022</v>
      </c>
      <c r="E1867" s="38">
        <v>3.07</v>
      </c>
      <c r="F1867" s="39">
        <v>0.11699364</v>
      </c>
      <c r="G1867" s="38">
        <v>0.20386894999999999</v>
      </c>
      <c r="H1867" s="38">
        <v>0.15629893</v>
      </c>
      <c r="I1867" s="38">
        <v>0.19933585000000001</v>
      </c>
      <c r="J1867" s="38">
        <v>1.3916717E-2</v>
      </c>
      <c r="K1867" s="38">
        <v>1.1022624E-2</v>
      </c>
      <c r="L1867" s="40">
        <v>0.70143671099999994</v>
      </c>
    </row>
    <row r="1868" spans="1:12" hidden="1">
      <c r="A1868" s="37" t="s">
        <v>2689</v>
      </c>
      <c r="B1868" s="37"/>
      <c r="C1868" s="37" t="s">
        <v>628</v>
      </c>
      <c r="D1868" s="64">
        <v>4019</v>
      </c>
      <c r="E1868" s="38">
        <v>2.8</v>
      </c>
      <c r="F1868" s="39">
        <v>0.82605538999999994</v>
      </c>
      <c r="G1868" s="38">
        <v>0.18028083</v>
      </c>
      <c r="H1868" s="38">
        <v>0.19186254</v>
      </c>
      <c r="I1868" s="38">
        <v>0.15080261</v>
      </c>
      <c r="J1868" s="38">
        <v>1.9444221000000001E-2</v>
      </c>
      <c r="K1868" s="38">
        <v>1.1022624E-2</v>
      </c>
      <c r="L1868" s="40">
        <v>1.3794682149999999</v>
      </c>
    </row>
    <row r="1869" spans="1:12" hidden="1">
      <c r="A1869" s="37" t="s">
        <v>2690</v>
      </c>
      <c r="B1869" s="37"/>
      <c r="C1869" s="37" t="s">
        <v>628</v>
      </c>
      <c r="D1869" s="64">
        <v>4017</v>
      </c>
      <c r="E1869" s="38">
        <v>2.98</v>
      </c>
      <c r="F1869" s="39">
        <v>0.82605538999999994</v>
      </c>
      <c r="G1869" s="38">
        <v>0.18028083</v>
      </c>
      <c r="H1869" s="38">
        <v>0.19186254</v>
      </c>
      <c r="I1869" s="38">
        <v>0.15080261</v>
      </c>
      <c r="J1869" s="38">
        <v>1.9444221000000001E-2</v>
      </c>
      <c r="K1869" s="38">
        <v>1.1022624E-2</v>
      </c>
      <c r="L1869" s="40">
        <v>1.3794682149999999</v>
      </c>
    </row>
    <row r="1870" spans="1:12" hidden="1">
      <c r="A1870" s="37" t="s">
        <v>2691</v>
      </c>
      <c r="B1870" s="37"/>
      <c r="C1870" s="37" t="s">
        <v>628</v>
      </c>
      <c r="D1870" s="64">
        <v>4018</v>
      </c>
      <c r="E1870" s="38">
        <v>2.8</v>
      </c>
      <c r="F1870" s="39">
        <v>0.82605538999999994</v>
      </c>
      <c r="G1870" s="38">
        <v>0.18028083</v>
      </c>
      <c r="H1870" s="38">
        <v>0.19186254</v>
      </c>
      <c r="I1870" s="38">
        <v>0.15080261</v>
      </c>
      <c r="J1870" s="38">
        <v>1.9444221000000001E-2</v>
      </c>
      <c r="K1870" s="38">
        <v>1.1022624E-2</v>
      </c>
      <c r="L1870" s="40">
        <v>1.3794682149999999</v>
      </c>
    </row>
    <row r="1871" spans="1:12" hidden="1">
      <c r="A1871" s="41" t="s">
        <v>2692</v>
      </c>
      <c r="B1871" s="41"/>
      <c r="C1871" s="41" t="s">
        <v>628</v>
      </c>
      <c r="D1871" s="65">
        <v>4026</v>
      </c>
      <c r="E1871" s="42">
        <v>2.63</v>
      </c>
      <c r="F1871" s="43">
        <v>0.16167177999999999</v>
      </c>
      <c r="G1871" s="42">
        <v>0</v>
      </c>
      <c r="H1871" s="42">
        <v>0.29556500000000002</v>
      </c>
      <c r="I1871" s="42">
        <v>0.22228476</v>
      </c>
      <c r="J1871" s="42">
        <v>1.5463893000000001E-2</v>
      </c>
      <c r="K1871" s="42">
        <v>0.12782694999999999</v>
      </c>
      <c r="L1871" s="44">
        <v>0.82281238299999993</v>
      </c>
    </row>
    <row r="1872" spans="1:12" hidden="1">
      <c r="A1872" s="41" t="s">
        <v>2693</v>
      </c>
      <c r="B1872" s="41"/>
      <c r="C1872" s="41" t="s">
        <v>628</v>
      </c>
      <c r="D1872" s="65">
        <v>4008</v>
      </c>
      <c r="E1872" s="42">
        <v>2.2599999999999998</v>
      </c>
      <c r="F1872" s="43">
        <v>0.1124069</v>
      </c>
      <c r="G1872" s="42">
        <v>0</v>
      </c>
      <c r="H1872" s="42">
        <v>0.20611238000000001</v>
      </c>
      <c r="I1872" s="42">
        <v>0.15455134000000001</v>
      </c>
      <c r="J1872" s="42">
        <v>1.0751711000000001E-2</v>
      </c>
      <c r="K1872" s="42">
        <v>9.9362450999999994E-3</v>
      </c>
      <c r="L1872" s="44">
        <v>0.49375857610000001</v>
      </c>
    </row>
    <row r="1873" spans="1:12" hidden="1">
      <c r="A1873" s="41" t="s">
        <v>2694</v>
      </c>
      <c r="B1873" s="41"/>
      <c r="C1873" s="41" t="s">
        <v>628</v>
      </c>
      <c r="D1873" s="65">
        <v>4002</v>
      </c>
      <c r="E1873" s="42">
        <v>2.71</v>
      </c>
      <c r="F1873" s="43">
        <v>0.16167177999999999</v>
      </c>
      <c r="G1873" s="42">
        <v>0</v>
      </c>
      <c r="H1873" s="42">
        <v>0.29556500000000002</v>
      </c>
      <c r="I1873" s="42">
        <v>0.22228476</v>
      </c>
      <c r="J1873" s="42">
        <v>1.5463893000000001E-2</v>
      </c>
      <c r="K1873" s="42">
        <v>0.118031</v>
      </c>
      <c r="L1873" s="44">
        <v>0.81301643299999993</v>
      </c>
    </row>
    <row r="1874" spans="1:12" hidden="1">
      <c r="A1874" s="41" t="s">
        <v>2695</v>
      </c>
      <c r="B1874" s="41"/>
      <c r="C1874" s="41" t="s">
        <v>628</v>
      </c>
      <c r="D1874" s="65">
        <v>4015</v>
      </c>
      <c r="E1874" s="42">
        <v>2.63</v>
      </c>
      <c r="F1874" s="43">
        <v>0.17539015999999999</v>
      </c>
      <c r="G1874" s="42">
        <v>1.4704643E-3</v>
      </c>
      <c r="H1874" s="42">
        <v>0.29235420000000001</v>
      </c>
      <c r="I1874" s="42">
        <v>0.22314057000000001</v>
      </c>
      <c r="J1874" s="42">
        <v>1.5463893000000001E-2</v>
      </c>
      <c r="K1874" s="42">
        <v>0.15455332999999999</v>
      </c>
      <c r="L1874" s="44">
        <v>0.86237261729999992</v>
      </c>
    </row>
    <row r="1875" spans="1:12" hidden="1">
      <c r="A1875" s="37" t="s">
        <v>2696</v>
      </c>
      <c r="B1875" s="37"/>
      <c r="C1875" s="37" t="s">
        <v>634</v>
      </c>
      <c r="D1875" s="64">
        <v>13620</v>
      </c>
      <c r="E1875" s="38">
        <v>2.2599999999999998</v>
      </c>
      <c r="F1875" s="39">
        <v>0.12970495000000001</v>
      </c>
      <c r="G1875" s="38">
        <v>0</v>
      </c>
      <c r="H1875" s="38">
        <v>0</v>
      </c>
      <c r="I1875" s="38">
        <v>0.28406734</v>
      </c>
      <c r="J1875" s="38">
        <v>1.6189816999999999E-2</v>
      </c>
      <c r="K1875" s="38">
        <v>3.2140419000000003E-2</v>
      </c>
      <c r="L1875" s="40">
        <v>0.46210252600000001</v>
      </c>
    </row>
    <row r="1876" spans="1:12" hidden="1">
      <c r="A1876" s="37" t="s">
        <v>2697</v>
      </c>
      <c r="B1876" s="37"/>
      <c r="C1876" s="37" t="s">
        <v>634</v>
      </c>
      <c r="D1876" s="64">
        <v>13039</v>
      </c>
      <c r="E1876" s="38">
        <v>2.0699999999999998</v>
      </c>
      <c r="F1876" s="39">
        <v>0.10991945</v>
      </c>
      <c r="G1876" s="38">
        <v>0</v>
      </c>
      <c r="H1876" s="38">
        <v>0</v>
      </c>
      <c r="I1876" s="38">
        <v>0.24073502999999999</v>
      </c>
      <c r="J1876" s="38">
        <v>1.3720184E-2</v>
      </c>
      <c r="K1876" s="38">
        <v>3.2140419000000003E-2</v>
      </c>
      <c r="L1876" s="40">
        <v>0.39651508300000005</v>
      </c>
    </row>
    <row r="1877" spans="1:12" hidden="1">
      <c r="A1877" s="37" t="s">
        <v>2698</v>
      </c>
      <c r="B1877" s="37"/>
      <c r="C1877" s="37" t="s">
        <v>634</v>
      </c>
      <c r="D1877" s="64">
        <v>13176</v>
      </c>
      <c r="E1877" s="38">
        <v>2.14</v>
      </c>
      <c r="F1877" s="39">
        <v>0.1203473</v>
      </c>
      <c r="G1877" s="38">
        <v>0</v>
      </c>
      <c r="H1877" s="38">
        <v>0.33121975999999997</v>
      </c>
      <c r="I1877" s="38">
        <v>0.27508945000000001</v>
      </c>
      <c r="J1877" s="38">
        <v>1.502179E-2</v>
      </c>
      <c r="K1877" s="38">
        <v>0.10587545</v>
      </c>
      <c r="L1877" s="40">
        <v>0.84755374999999999</v>
      </c>
    </row>
    <row r="1878" spans="1:12" hidden="1">
      <c r="A1878" s="37" t="s">
        <v>2699</v>
      </c>
      <c r="B1878" s="37"/>
      <c r="C1878" s="37" t="s">
        <v>634</v>
      </c>
      <c r="D1878" s="64">
        <v>13050</v>
      </c>
      <c r="E1878" s="38">
        <v>2.0299999999999998</v>
      </c>
      <c r="F1878" s="39">
        <v>0.10991945</v>
      </c>
      <c r="G1878" s="38">
        <v>0</v>
      </c>
      <c r="H1878" s="38">
        <v>0</v>
      </c>
      <c r="I1878" s="38">
        <v>0.24073502999999999</v>
      </c>
      <c r="J1878" s="38">
        <v>1.3720184E-2</v>
      </c>
      <c r="K1878" s="38">
        <v>3.2140419000000003E-2</v>
      </c>
      <c r="L1878" s="40">
        <v>0.39651508300000005</v>
      </c>
    </row>
    <row r="1879" spans="1:12" hidden="1">
      <c r="A1879" s="37" t="s">
        <v>2700</v>
      </c>
      <c r="B1879" s="37"/>
      <c r="C1879" s="37" t="s">
        <v>634</v>
      </c>
      <c r="D1879" s="64">
        <v>13175</v>
      </c>
      <c r="E1879" s="38">
        <v>2.14</v>
      </c>
      <c r="F1879" s="39">
        <v>0.10991945</v>
      </c>
      <c r="G1879" s="38">
        <v>0</v>
      </c>
      <c r="H1879" s="38">
        <v>0.31040575999999998</v>
      </c>
      <c r="I1879" s="38">
        <v>0.25126676999999997</v>
      </c>
      <c r="J1879" s="38">
        <v>1.3720184E-2</v>
      </c>
      <c r="K1879" s="38">
        <v>0.118031</v>
      </c>
      <c r="L1879" s="40">
        <v>0.80334316399999994</v>
      </c>
    </row>
    <row r="1880" spans="1:12" hidden="1">
      <c r="A1880" s="37" t="s">
        <v>2701</v>
      </c>
      <c r="B1880" s="37"/>
      <c r="C1880" s="37" t="s">
        <v>634</v>
      </c>
      <c r="D1880" s="64">
        <v>13111</v>
      </c>
      <c r="E1880" s="38">
        <v>2.5299999999999998</v>
      </c>
      <c r="F1880" s="39">
        <v>0.48109076000000001</v>
      </c>
      <c r="G1880" s="38">
        <v>0.73786633999999995</v>
      </c>
      <c r="H1880" s="38">
        <v>0.28983447000000001</v>
      </c>
      <c r="I1880" s="38">
        <v>0.14485623</v>
      </c>
      <c r="J1880" s="38">
        <v>2.0718152E-2</v>
      </c>
      <c r="K1880" s="38">
        <v>9.9362450999999994E-3</v>
      </c>
      <c r="L1880" s="40">
        <v>1.6843021970999998</v>
      </c>
    </row>
    <row r="1881" spans="1:12" hidden="1">
      <c r="A1881" s="37" t="s">
        <v>2702</v>
      </c>
      <c r="B1881" s="37"/>
      <c r="C1881" s="37" t="s">
        <v>640</v>
      </c>
      <c r="D1881" s="64">
        <v>12042</v>
      </c>
      <c r="E1881" s="38">
        <v>2.2400000000000002</v>
      </c>
      <c r="F1881" s="39">
        <v>4.5631557000000003</v>
      </c>
      <c r="G1881" s="38">
        <v>0.25351739000000001</v>
      </c>
      <c r="H1881" s="38">
        <v>0.26233268999999998</v>
      </c>
      <c r="I1881" s="38">
        <v>0.21100323000000001</v>
      </c>
      <c r="J1881" s="38">
        <v>3.5969872999999999E-2</v>
      </c>
      <c r="K1881" s="38">
        <v>6.6736979E-3</v>
      </c>
      <c r="L1881" s="40">
        <v>5.3326525809000005</v>
      </c>
    </row>
    <row r="1882" spans="1:12" hidden="1">
      <c r="A1882" s="37" t="s">
        <v>2703</v>
      </c>
      <c r="B1882" s="37"/>
      <c r="C1882" s="37" t="s">
        <v>623</v>
      </c>
      <c r="D1882" s="64">
        <v>9231</v>
      </c>
      <c r="E1882" s="38">
        <v>2.15</v>
      </c>
      <c r="F1882" s="39">
        <v>0.59692054999999999</v>
      </c>
      <c r="G1882" s="38">
        <v>5.5213687999999997E-2</v>
      </c>
      <c r="H1882" s="38">
        <v>0.10977533</v>
      </c>
      <c r="I1882" s="38">
        <v>0.11576143</v>
      </c>
      <c r="J1882" s="38">
        <v>1.9437894000000001E-2</v>
      </c>
      <c r="K1882" s="38">
        <v>8.5890577999999995E-2</v>
      </c>
      <c r="L1882" s="40">
        <v>0.9829994700000001</v>
      </c>
    </row>
    <row r="1883" spans="1:12" hidden="1">
      <c r="A1883" s="37" t="s">
        <v>2704</v>
      </c>
      <c r="B1883" s="37"/>
      <c r="C1883" s="37" t="s">
        <v>623</v>
      </c>
      <c r="D1883" s="64">
        <v>9230</v>
      </c>
      <c r="E1883" s="38">
        <v>1.86</v>
      </c>
      <c r="F1883" s="39">
        <v>0.53307324</v>
      </c>
      <c r="G1883" s="38">
        <v>4.3453172999999998E-2</v>
      </c>
      <c r="H1883" s="38">
        <v>0.10977533</v>
      </c>
      <c r="I1883" s="38">
        <v>0.11576143</v>
      </c>
      <c r="J1883" s="38">
        <v>1.9437894000000001E-2</v>
      </c>
      <c r="K1883" s="38">
        <v>8.5890577999999995E-2</v>
      </c>
      <c r="L1883" s="40">
        <v>0.90739164500000002</v>
      </c>
    </row>
    <row r="1884" spans="1:12" hidden="1">
      <c r="A1884" s="37" t="s">
        <v>2705</v>
      </c>
      <c r="B1884" s="37"/>
      <c r="C1884" s="37" t="s">
        <v>623</v>
      </c>
      <c r="D1884" s="64">
        <v>9232</v>
      </c>
      <c r="E1884" s="38">
        <v>2.13</v>
      </c>
      <c r="F1884" s="39">
        <v>1.1011207000000001</v>
      </c>
      <c r="G1884" s="38">
        <v>0.27137169999999999</v>
      </c>
      <c r="H1884" s="38">
        <v>0.10977533</v>
      </c>
      <c r="I1884" s="38">
        <v>0.12835917999999999</v>
      </c>
      <c r="J1884" s="38">
        <v>1.9437894000000001E-2</v>
      </c>
      <c r="K1884" s="38">
        <v>0</v>
      </c>
      <c r="L1884" s="40">
        <v>1.6300648039999999</v>
      </c>
    </row>
    <row r="1885" spans="1:12" hidden="1">
      <c r="A1885" s="37" t="s">
        <v>2706</v>
      </c>
      <c r="B1885" s="37"/>
      <c r="C1885" s="37" t="s">
        <v>811</v>
      </c>
      <c r="D1885" s="64">
        <v>25207</v>
      </c>
      <c r="E1885" s="38">
        <v>2.42</v>
      </c>
      <c r="F1885" s="39">
        <v>8.4325553000000006</v>
      </c>
      <c r="G1885" s="38">
        <v>1.1320968</v>
      </c>
      <c r="H1885" s="38">
        <v>0.60637991000000002</v>
      </c>
      <c r="I1885" s="38">
        <v>0.23026371000000001</v>
      </c>
      <c r="J1885" s="38">
        <v>3.7768032999999999E-2</v>
      </c>
      <c r="K1885" s="38">
        <v>1.7696322E-2</v>
      </c>
      <c r="L1885" s="40">
        <v>10.456760075000002</v>
      </c>
    </row>
    <row r="1886" spans="1:12" hidden="1">
      <c r="A1886" s="37" t="s">
        <v>2707</v>
      </c>
      <c r="B1886" s="37"/>
      <c r="C1886" s="37" t="s">
        <v>788</v>
      </c>
      <c r="D1886" s="64">
        <v>28470</v>
      </c>
      <c r="E1886" s="38">
        <v>2.4700000000000002</v>
      </c>
      <c r="F1886" s="39">
        <v>1.1201766</v>
      </c>
      <c r="G1886" s="38">
        <v>5.7040593000000001E-2</v>
      </c>
      <c r="H1886" s="38">
        <v>0.27530876999999998</v>
      </c>
      <c r="I1886" s="38">
        <v>0.19194996</v>
      </c>
      <c r="J1886" s="38">
        <v>3.7353873000000003E-2</v>
      </c>
      <c r="K1886" s="38">
        <v>6.6736979E-3</v>
      </c>
      <c r="L1886" s="40">
        <v>1.6885034938999999</v>
      </c>
    </row>
    <row r="1887" spans="1:12" hidden="1">
      <c r="A1887" s="37" t="s">
        <v>2708</v>
      </c>
      <c r="B1887" s="37"/>
      <c r="C1887" s="37" t="s">
        <v>788</v>
      </c>
      <c r="D1887" s="64">
        <v>28104</v>
      </c>
      <c r="E1887" s="38">
        <v>2.4500000000000002</v>
      </c>
      <c r="F1887" s="39">
        <v>8.5019969</v>
      </c>
      <c r="G1887" s="38">
        <v>0.86734506</v>
      </c>
      <c r="H1887" s="38">
        <v>0.47281663000000002</v>
      </c>
      <c r="I1887" s="38">
        <v>0.26014998</v>
      </c>
      <c r="J1887" s="38">
        <v>4.6692341999999998E-2</v>
      </c>
      <c r="K1887" s="38">
        <v>8.8693171000000001E-2</v>
      </c>
      <c r="L1887" s="40">
        <v>10.237694082999999</v>
      </c>
    </row>
    <row r="1888" spans="1:12" hidden="1">
      <c r="A1888" s="37" t="s">
        <v>2709</v>
      </c>
      <c r="B1888" s="37"/>
      <c r="C1888" s="37" t="s">
        <v>786</v>
      </c>
      <c r="D1888" s="64">
        <v>28105</v>
      </c>
      <c r="E1888" s="38">
        <v>2.4700000000000002</v>
      </c>
      <c r="F1888" s="39">
        <v>10.740206000000001</v>
      </c>
      <c r="G1888" s="38">
        <v>1.0956796</v>
      </c>
      <c r="H1888" s="38">
        <v>0.59728886000000003</v>
      </c>
      <c r="I1888" s="38">
        <v>0.32863625000000002</v>
      </c>
      <c r="J1888" s="38">
        <v>5.8984421000000002E-2</v>
      </c>
      <c r="K1888" s="38">
        <v>0.19793284</v>
      </c>
      <c r="L1888" s="40">
        <v>13.018727971000002</v>
      </c>
    </row>
    <row r="1889" spans="1:12" hidden="1">
      <c r="A1889" s="37" t="s">
        <v>2710</v>
      </c>
      <c r="B1889" s="37"/>
      <c r="C1889" s="37" t="s">
        <v>788</v>
      </c>
      <c r="D1889" s="64">
        <v>28100</v>
      </c>
      <c r="E1889" s="38">
        <v>2.4500000000000002</v>
      </c>
      <c r="F1889" s="39">
        <v>8.5019969</v>
      </c>
      <c r="G1889" s="38">
        <v>0.86734506</v>
      </c>
      <c r="H1889" s="38">
        <v>0.47281663000000002</v>
      </c>
      <c r="I1889" s="38">
        <v>0.26014998</v>
      </c>
      <c r="J1889" s="38">
        <v>4.6692341999999998E-2</v>
      </c>
      <c r="K1889" s="38">
        <v>8.8693171000000001E-2</v>
      </c>
      <c r="L1889" s="40">
        <v>10.237694082999999</v>
      </c>
    </row>
    <row r="1890" spans="1:12" hidden="1">
      <c r="A1890" s="37" t="s">
        <v>2711</v>
      </c>
      <c r="B1890" s="37"/>
      <c r="C1890" s="37" t="s">
        <v>786</v>
      </c>
      <c r="D1890" s="64">
        <v>28101</v>
      </c>
      <c r="E1890" s="38">
        <v>2.4700000000000002</v>
      </c>
      <c r="F1890" s="39">
        <v>10.740206000000001</v>
      </c>
      <c r="G1890" s="38">
        <v>1.0956796</v>
      </c>
      <c r="H1890" s="38">
        <v>0.59728886000000003</v>
      </c>
      <c r="I1890" s="38">
        <v>0.32863625000000002</v>
      </c>
      <c r="J1890" s="38">
        <v>5.8984421000000002E-2</v>
      </c>
      <c r="K1890" s="38">
        <v>0.19793284</v>
      </c>
      <c r="L1890" s="40">
        <v>13.018727971000002</v>
      </c>
    </row>
    <row r="1891" spans="1:12" hidden="1">
      <c r="A1891" s="37" t="s">
        <v>2712</v>
      </c>
      <c r="B1891" s="37"/>
      <c r="C1891" s="37" t="s">
        <v>788</v>
      </c>
      <c r="D1891" s="64">
        <v>28302</v>
      </c>
      <c r="E1891" s="38">
        <v>2.64</v>
      </c>
      <c r="F1891" s="39">
        <v>8.5019969</v>
      </c>
      <c r="G1891" s="38">
        <v>0.91677048999999999</v>
      </c>
      <c r="H1891" s="38">
        <v>0.46360112999999997</v>
      </c>
      <c r="I1891" s="38">
        <v>0.21295953000000001</v>
      </c>
      <c r="J1891" s="38">
        <v>3.7353873000000003E-2</v>
      </c>
      <c r="K1891" s="38">
        <v>6.6736979E-3</v>
      </c>
      <c r="L1891" s="40">
        <v>10.1393556209</v>
      </c>
    </row>
    <row r="1892" spans="1:12" hidden="1">
      <c r="A1892" s="37" t="s">
        <v>2713</v>
      </c>
      <c r="B1892" s="37"/>
      <c r="C1892" s="37" t="s">
        <v>786</v>
      </c>
      <c r="D1892" s="64">
        <v>28451</v>
      </c>
      <c r="E1892" s="38">
        <v>2.65</v>
      </c>
      <c r="F1892" s="39">
        <v>10.740206000000001</v>
      </c>
      <c r="G1892" s="38">
        <v>1.1581166000000001</v>
      </c>
      <c r="H1892" s="38">
        <v>0.58564731000000003</v>
      </c>
      <c r="I1892" s="38">
        <v>0.26902259000000001</v>
      </c>
      <c r="J1892" s="38">
        <v>4.7187537000000002E-2</v>
      </c>
      <c r="K1892" s="38">
        <v>9.4321172999999994E-2</v>
      </c>
      <c r="L1892" s="40">
        <v>12.894501210000001</v>
      </c>
    </row>
    <row r="1893" spans="1:12" hidden="1">
      <c r="A1893" s="37" t="s">
        <v>2714</v>
      </c>
      <c r="B1893" s="37"/>
      <c r="C1893" s="37" t="s">
        <v>788</v>
      </c>
      <c r="D1893" s="64">
        <v>28001</v>
      </c>
      <c r="E1893" s="38">
        <v>2.4500000000000002</v>
      </c>
      <c r="F1893" s="39">
        <v>6.8015974999999997</v>
      </c>
      <c r="G1893" s="38">
        <v>0.69387604999999997</v>
      </c>
      <c r="H1893" s="38">
        <v>0.37825331000000001</v>
      </c>
      <c r="I1893" s="38">
        <v>0.20811999</v>
      </c>
      <c r="J1893" s="38">
        <v>3.7353873000000003E-2</v>
      </c>
      <c r="K1893" s="38">
        <v>6.6736979E-3</v>
      </c>
      <c r="L1893" s="40">
        <v>8.1258744209000007</v>
      </c>
    </row>
    <row r="1894" spans="1:12" hidden="1">
      <c r="A1894" s="37" t="s">
        <v>2715</v>
      </c>
      <c r="B1894" s="37"/>
      <c r="C1894" s="37" t="s">
        <v>786</v>
      </c>
      <c r="D1894" s="64">
        <v>28010</v>
      </c>
      <c r="E1894" s="38">
        <v>2.4700000000000002</v>
      </c>
      <c r="F1894" s="39">
        <v>8.5921648000000008</v>
      </c>
      <c r="G1894" s="38">
        <v>0.87654368000000005</v>
      </c>
      <c r="H1894" s="38">
        <v>0.47783109000000001</v>
      </c>
      <c r="I1894" s="38">
        <v>0.262909</v>
      </c>
      <c r="J1894" s="38">
        <v>4.7187537000000002E-2</v>
      </c>
      <c r="K1894" s="38">
        <v>9.4321172999999994E-2</v>
      </c>
      <c r="L1894" s="40">
        <v>10.350957280000001</v>
      </c>
    </row>
    <row r="1895" spans="1:12" hidden="1">
      <c r="A1895" s="37" t="s">
        <v>2716</v>
      </c>
      <c r="B1895" s="37"/>
      <c r="C1895" s="37" t="s">
        <v>788</v>
      </c>
      <c r="D1895" s="64">
        <v>28460</v>
      </c>
      <c r="E1895" s="38">
        <v>2.64</v>
      </c>
      <c r="F1895" s="39">
        <v>8.5019969</v>
      </c>
      <c r="G1895" s="38">
        <v>0.91677048999999999</v>
      </c>
      <c r="H1895" s="38">
        <v>0.46360112999999997</v>
      </c>
      <c r="I1895" s="38">
        <v>0.21295953000000001</v>
      </c>
      <c r="J1895" s="38">
        <v>3.7353873000000003E-2</v>
      </c>
      <c r="K1895" s="38">
        <v>6.6736979E-3</v>
      </c>
      <c r="L1895" s="40">
        <v>10.1393556209</v>
      </c>
    </row>
    <row r="1896" spans="1:12" hidden="1">
      <c r="A1896" s="37" t="s">
        <v>2717</v>
      </c>
      <c r="B1896" s="37"/>
      <c r="C1896" s="37" t="s">
        <v>786</v>
      </c>
      <c r="D1896" s="64">
        <v>28461</v>
      </c>
      <c r="E1896" s="38">
        <v>2.65</v>
      </c>
      <c r="F1896" s="39">
        <v>10.740206000000001</v>
      </c>
      <c r="G1896" s="38">
        <v>1.1581166000000001</v>
      </c>
      <c r="H1896" s="38">
        <v>0.58564731000000003</v>
      </c>
      <c r="I1896" s="38">
        <v>0.26902259000000001</v>
      </c>
      <c r="J1896" s="38">
        <v>4.7187537000000002E-2</v>
      </c>
      <c r="K1896" s="38">
        <v>9.4321172999999994E-2</v>
      </c>
      <c r="L1896" s="40">
        <v>12.894501210000001</v>
      </c>
    </row>
    <row r="1897" spans="1:12" hidden="1">
      <c r="A1897" s="37" t="s">
        <v>2718</v>
      </c>
      <c r="B1897" s="37"/>
      <c r="C1897" s="37" t="s">
        <v>788</v>
      </c>
      <c r="D1897" s="64">
        <v>28204</v>
      </c>
      <c r="E1897" s="38">
        <v>2.64</v>
      </c>
      <c r="F1897" s="39">
        <v>8.5019969</v>
      </c>
      <c r="G1897" s="38">
        <v>0.91677048999999999</v>
      </c>
      <c r="H1897" s="38">
        <v>0.46360112999999997</v>
      </c>
      <c r="I1897" s="38">
        <v>0.21295953000000001</v>
      </c>
      <c r="J1897" s="38">
        <v>3.7353873000000003E-2</v>
      </c>
      <c r="K1897" s="38">
        <v>6.6736979E-3</v>
      </c>
      <c r="L1897" s="40">
        <v>10.1393556209</v>
      </c>
    </row>
    <row r="1898" spans="1:12" hidden="1">
      <c r="A1898" s="37" t="s">
        <v>2719</v>
      </c>
      <c r="B1898" s="37"/>
      <c r="C1898" s="37" t="s">
        <v>786</v>
      </c>
      <c r="D1898" s="64">
        <v>28203</v>
      </c>
      <c r="E1898" s="38">
        <v>2.65</v>
      </c>
      <c r="F1898" s="39">
        <v>10.740206000000001</v>
      </c>
      <c r="G1898" s="38">
        <v>1.1581166000000001</v>
      </c>
      <c r="H1898" s="38">
        <v>0.58564731000000003</v>
      </c>
      <c r="I1898" s="38">
        <v>0.26902259000000001</v>
      </c>
      <c r="J1898" s="38">
        <v>4.7187537000000002E-2</v>
      </c>
      <c r="K1898" s="38">
        <v>9.4321172999999994E-2</v>
      </c>
      <c r="L1898" s="40">
        <v>12.894501210000001</v>
      </c>
    </row>
    <row r="1899" spans="1:12" hidden="1">
      <c r="A1899" s="37" t="s">
        <v>2720</v>
      </c>
      <c r="B1899" s="37"/>
      <c r="C1899" s="37" t="s">
        <v>788</v>
      </c>
      <c r="D1899" s="64">
        <v>28201</v>
      </c>
      <c r="E1899" s="38">
        <v>2.64</v>
      </c>
      <c r="F1899" s="39">
        <v>8.5019969</v>
      </c>
      <c r="G1899" s="38">
        <v>0.91677048999999999</v>
      </c>
      <c r="H1899" s="38">
        <v>0.46360112999999997</v>
      </c>
      <c r="I1899" s="38">
        <v>0.21295953000000001</v>
      </c>
      <c r="J1899" s="38">
        <v>3.7353873000000003E-2</v>
      </c>
      <c r="K1899" s="38">
        <v>6.6736979E-3</v>
      </c>
      <c r="L1899" s="40">
        <v>10.1393556209</v>
      </c>
    </row>
    <row r="1900" spans="1:12" hidden="1">
      <c r="A1900" s="37" t="s">
        <v>2721</v>
      </c>
      <c r="B1900" s="37"/>
      <c r="C1900" s="37" t="s">
        <v>786</v>
      </c>
      <c r="D1900" s="64">
        <v>28202</v>
      </c>
      <c r="E1900" s="38">
        <v>2.65</v>
      </c>
      <c r="F1900" s="39">
        <v>10.740206000000001</v>
      </c>
      <c r="G1900" s="38">
        <v>1.1581166000000001</v>
      </c>
      <c r="H1900" s="38">
        <v>0.58564731000000003</v>
      </c>
      <c r="I1900" s="38">
        <v>0.26902259000000001</v>
      </c>
      <c r="J1900" s="38">
        <v>4.7187537000000002E-2</v>
      </c>
      <c r="K1900" s="38">
        <v>9.4321172999999994E-2</v>
      </c>
      <c r="L1900" s="40">
        <v>12.894501210000001</v>
      </c>
    </row>
    <row r="1901" spans="1:12" hidden="1">
      <c r="A1901" s="37" t="s">
        <v>2722</v>
      </c>
      <c r="B1901" s="37"/>
      <c r="C1901" s="37" t="s">
        <v>788</v>
      </c>
      <c r="D1901" s="64">
        <v>28471</v>
      </c>
      <c r="E1901" s="38">
        <v>2.91</v>
      </c>
      <c r="F1901" s="39">
        <v>5.4226793999999998</v>
      </c>
      <c r="G1901" s="38">
        <v>0.27572540000000001</v>
      </c>
      <c r="H1901" s="38">
        <v>0.27530876999999998</v>
      </c>
      <c r="I1901" s="38">
        <v>0.20419541999999999</v>
      </c>
      <c r="J1901" s="38">
        <v>3.7353873000000003E-2</v>
      </c>
      <c r="K1901" s="38">
        <v>6.6736979E-3</v>
      </c>
      <c r="L1901" s="40">
        <v>6.2219365608999988</v>
      </c>
    </row>
    <row r="1902" spans="1:12" hidden="1">
      <c r="A1902" s="37" t="s">
        <v>2723</v>
      </c>
      <c r="B1902" s="37"/>
      <c r="C1902" s="37" t="s">
        <v>788</v>
      </c>
      <c r="D1902" s="64">
        <v>28472</v>
      </c>
      <c r="E1902" s="38">
        <v>2.64</v>
      </c>
      <c r="F1902" s="39">
        <v>8.5019969</v>
      </c>
      <c r="G1902" s="38">
        <v>0.91677048999999999</v>
      </c>
      <c r="H1902" s="38">
        <v>0.46360112999999997</v>
      </c>
      <c r="I1902" s="38">
        <v>0.21295953000000001</v>
      </c>
      <c r="J1902" s="38">
        <v>3.7353873000000003E-2</v>
      </c>
      <c r="K1902" s="38">
        <v>6.6736979E-3</v>
      </c>
      <c r="L1902" s="40">
        <v>10.1393556209</v>
      </c>
    </row>
    <row r="1903" spans="1:12" hidden="1">
      <c r="A1903" s="37" t="s">
        <v>2724</v>
      </c>
      <c r="B1903" s="37"/>
      <c r="C1903" s="37" t="s">
        <v>788</v>
      </c>
      <c r="D1903" s="64">
        <v>28473</v>
      </c>
      <c r="E1903" s="38">
        <v>2.64</v>
      </c>
      <c r="F1903" s="39">
        <v>10.627496000000001</v>
      </c>
      <c r="G1903" s="38">
        <v>1.1459630999999999</v>
      </c>
      <c r="H1903" s="38">
        <v>0.57950140999999999</v>
      </c>
      <c r="I1903" s="38">
        <v>0.26619942000000002</v>
      </c>
      <c r="J1903" s="38">
        <v>4.6692341999999998E-2</v>
      </c>
      <c r="K1903" s="38">
        <v>8.8693171000000001E-2</v>
      </c>
      <c r="L1903" s="40">
        <v>12.754545443</v>
      </c>
    </row>
    <row r="1904" spans="1:12" hidden="1">
      <c r="A1904" s="37" t="s">
        <v>2725</v>
      </c>
      <c r="B1904" s="37"/>
      <c r="C1904" s="37" t="s">
        <v>788</v>
      </c>
      <c r="D1904" s="64">
        <v>28474</v>
      </c>
      <c r="E1904" s="38">
        <v>2.4500000000000002</v>
      </c>
      <c r="F1904" s="39">
        <v>8.5019969</v>
      </c>
      <c r="G1904" s="38">
        <v>0.86734506</v>
      </c>
      <c r="H1904" s="38">
        <v>0.47281663000000002</v>
      </c>
      <c r="I1904" s="38">
        <v>0.26014998</v>
      </c>
      <c r="J1904" s="38">
        <v>4.6692341999999998E-2</v>
      </c>
      <c r="K1904" s="38">
        <v>8.8693171000000001E-2</v>
      </c>
      <c r="L1904" s="40">
        <v>10.237694082999999</v>
      </c>
    </row>
    <row r="1905" spans="1:12" hidden="1">
      <c r="A1905" s="37" t="s">
        <v>2726</v>
      </c>
      <c r="B1905" s="37"/>
      <c r="C1905" s="37" t="s">
        <v>788</v>
      </c>
      <c r="D1905" s="64">
        <v>28004</v>
      </c>
      <c r="E1905" s="38">
        <v>2.4500000000000002</v>
      </c>
      <c r="F1905" s="39">
        <v>8.5019969</v>
      </c>
      <c r="G1905" s="38">
        <v>0.86734506</v>
      </c>
      <c r="H1905" s="38">
        <v>0.47281663000000002</v>
      </c>
      <c r="I1905" s="38">
        <v>0.26014998</v>
      </c>
      <c r="J1905" s="38">
        <v>4.6692341999999998E-2</v>
      </c>
      <c r="K1905" s="38">
        <v>8.8693171000000001E-2</v>
      </c>
      <c r="L1905" s="40">
        <v>10.237694082999999</v>
      </c>
    </row>
    <row r="1906" spans="1:12" hidden="1">
      <c r="A1906" s="37" t="s">
        <v>2727</v>
      </c>
      <c r="B1906" s="37"/>
      <c r="C1906" s="37" t="s">
        <v>788</v>
      </c>
      <c r="D1906" s="64">
        <v>28003</v>
      </c>
      <c r="E1906" s="38">
        <v>2.64</v>
      </c>
      <c r="F1906" s="39">
        <v>8.5019969</v>
      </c>
      <c r="G1906" s="38">
        <v>0.91677048999999999</v>
      </c>
      <c r="H1906" s="38">
        <v>0.46360112999999997</v>
      </c>
      <c r="I1906" s="38">
        <v>0.21295953000000001</v>
      </c>
      <c r="J1906" s="38">
        <v>3.7353873000000003E-2</v>
      </c>
      <c r="K1906" s="38">
        <v>6.6736979E-3</v>
      </c>
      <c r="L1906" s="40">
        <v>10.1393556209</v>
      </c>
    </row>
    <row r="1907" spans="1:12" hidden="1">
      <c r="A1907" s="37" t="s">
        <v>2728</v>
      </c>
      <c r="B1907" s="37"/>
      <c r="C1907" s="37" t="s">
        <v>786</v>
      </c>
      <c r="D1907" s="64">
        <v>28007</v>
      </c>
      <c r="E1907" s="38">
        <v>2.65</v>
      </c>
      <c r="F1907" s="39">
        <v>10.740206000000001</v>
      </c>
      <c r="G1907" s="38">
        <v>1.1581166000000001</v>
      </c>
      <c r="H1907" s="38">
        <v>0.58564731000000003</v>
      </c>
      <c r="I1907" s="38">
        <v>0.26902259000000001</v>
      </c>
      <c r="J1907" s="38">
        <v>4.7187537000000002E-2</v>
      </c>
      <c r="K1907" s="38">
        <v>9.4321172999999994E-2</v>
      </c>
      <c r="L1907" s="40">
        <v>12.894501210000001</v>
      </c>
    </row>
    <row r="1908" spans="1:12" hidden="1">
      <c r="A1908" s="37" t="s">
        <v>2729</v>
      </c>
      <c r="B1908" s="37"/>
      <c r="C1908" s="37" t="s">
        <v>788</v>
      </c>
      <c r="D1908" s="64">
        <v>28476</v>
      </c>
      <c r="E1908" s="38">
        <v>3.1</v>
      </c>
      <c r="F1908" s="39">
        <v>8.5019969</v>
      </c>
      <c r="G1908" s="38">
        <v>0.91677048999999999</v>
      </c>
      <c r="H1908" s="38">
        <v>0.46360112999999997</v>
      </c>
      <c r="I1908" s="38">
        <v>0.21295953000000001</v>
      </c>
      <c r="J1908" s="38">
        <v>3.7353873000000003E-2</v>
      </c>
      <c r="K1908" s="38">
        <v>6.6736979E-3</v>
      </c>
      <c r="L1908" s="40">
        <v>10.1393556209</v>
      </c>
    </row>
    <row r="1909" spans="1:12" hidden="1">
      <c r="A1909" s="37" t="s">
        <v>2730</v>
      </c>
      <c r="B1909" s="37"/>
      <c r="C1909" s="37" t="s">
        <v>788</v>
      </c>
      <c r="D1909" s="64">
        <v>28475</v>
      </c>
      <c r="E1909" s="38">
        <v>3.1</v>
      </c>
      <c r="F1909" s="39">
        <v>8.5019969</v>
      </c>
      <c r="G1909" s="38">
        <v>0.91677048999999999</v>
      </c>
      <c r="H1909" s="38">
        <v>0.46360112999999997</v>
      </c>
      <c r="I1909" s="38">
        <v>0.21295953000000001</v>
      </c>
      <c r="J1909" s="38">
        <v>3.7353873000000003E-2</v>
      </c>
      <c r="K1909" s="38">
        <v>6.6736979E-3</v>
      </c>
      <c r="L1909" s="40">
        <v>10.1393556209</v>
      </c>
    </row>
    <row r="1910" spans="1:12" hidden="1">
      <c r="A1910" s="37" t="s">
        <v>2731</v>
      </c>
      <c r="B1910" s="37"/>
      <c r="C1910" s="37" t="s">
        <v>788</v>
      </c>
      <c r="D1910" s="64">
        <v>28477</v>
      </c>
      <c r="E1910" s="38">
        <v>2.64</v>
      </c>
      <c r="F1910" s="39">
        <v>8.5019969</v>
      </c>
      <c r="G1910" s="38">
        <v>0.91677048999999999</v>
      </c>
      <c r="H1910" s="38">
        <v>0.46360112999999997</v>
      </c>
      <c r="I1910" s="38">
        <v>0.21295953000000001</v>
      </c>
      <c r="J1910" s="38">
        <v>3.7353873000000003E-2</v>
      </c>
      <c r="K1910" s="38">
        <v>6.6736979E-3</v>
      </c>
      <c r="L1910" s="40">
        <v>10.1393556209</v>
      </c>
    </row>
    <row r="1911" spans="1:12" hidden="1">
      <c r="A1911" s="37" t="s">
        <v>2732</v>
      </c>
      <c r="B1911" s="37"/>
      <c r="C1911" s="37" t="s">
        <v>788</v>
      </c>
      <c r="D1911" s="64">
        <v>28479</v>
      </c>
      <c r="E1911" s="38">
        <v>2.91</v>
      </c>
      <c r="F1911" s="39">
        <v>5.4226793999999998</v>
      </c>
      <c r="G1911" s="38">
        <v>0.27572540000000001</v>
      </c>
      <c r="H1911" s="38">
        <v>0.27530876999999998</v>
      </c>
      <c r="I1911" s="38">
        <v>0.20419541999999999</v>
      </c>
      <c r="J1911" s="38">
        <v>3.7353873000000003E-2</v>
      </c>
      <c r="K1911" s="38">
        <v>6.6736979E-3</v>
      </c>
      <c r="L1911" s="40">
        <v>6.2219365608999988</v>
      </c>
    </row>
    <row r="1912" spans="1:12" hidden="1">
      <c r="A1912" s="37" t="s">
        <v>2733</v>
      </c>
      <c r="B1912" s="37"/>
      <c r="C1912" s="37" t="s">
        <v>788</v>
      </c>
      <c r="D1912" s="64">
        <v>28002</v>
      </c>
      <c r="E1912" s="38">
        <v>3.1</v>
      </c>
      <c r="F1912" s="39">
        <v>8.5019969</v>
      </c>
      <c r="G1912" s="38">
        <v>0.91677048999999999</v>
      </c>
      <c r="H1912" s="38">
        <v>0.46360112999999997</v>
      </c>
      <c r="I1912" s="38">
        <v>0.21295953000000001</v>
      </c>
      <c r="J1912" s="38">
        <v>3.7353873000000003E-2</v>
      </c>
      <c r="K1912" s="38">
        <v>6.6736979E-3</v>
      </c>
      <c r="L1912" s="40">
        <v>10.1393556209</v>
      </c>
    </row>
    <row r="1913" spans="1:12" hidden="1">
      <c r="A1913" s="41" t="s">
        <v>2734</v>
      </c>
      <c r="B1913" s="41"/>
      <c r="C1913" s="41" t="s">
        <v>788</v>
      </c>
      <c r="D1913" s="65">
        <v>28480</v>
      </c>
      <c r="E1913" s="42">
        <v>2.64</v>
      </c>
      <c r="F1913" s="43">
        <v>8.5019969</v>
      </c>
      <c r="G1913" s="42">
        <v>0.91677048999999999</v>
      </c>
      <c r="H1913" s="42">
        <v>0.46360112999999997</v>
      </c>
      <c r="I1913" s="42">
        <v>0.21295953000000001</v>
      </c>
      <c r="J1913" s="42">
        <v>3.7353873000000003E-2</v>
      </c>
      <c r="K1913" s="42">
        <v>6.6736979E-3</v>
      </c>
      <c r="L1913" s="44">
        <v>10.1393556209</v>
      </c>
    </row>
    <row r="1914" spans="1:12" hidden="1">
      <c r="A1914" s="37" t="s">
        <v>2735</v>
      </c>
      <c r="B1914" s="37"/>
      <c r="C1914" s="37" t="s">
        <v>788</v>
      </c>
      <c r="D1914" s="64">
        <v>28300</v>
      </c>
      <c r="E1914" s="38">
        <v>2.64</v>
      </c>
      <c r="F1914" s="39">
        <v>8.5019969</v>
      </c>
      <c r="G1914" s="38">
        <v>0.91677048999999999</v>
      </c>
      <c r="H1914" s="38">
        <v>0.46360112999999997</v>
      </c>
      <c r="I1914" s="38">
        <v>0.21295953000000001</v>
      </c>
      <c r="J1914" s="38">
        <v>3.7353873000000003E-2</v>
      </c>
      <c r="K1914" s="38">
        <v>6.6736979E-3</v>
      </c>
      <c r="L1914" s="40">
        <v>10.1393556209</v>
      </c>
    </row>
    <row r="1915" spans="1:12" hidden="1">
      <c r="A1915" s="37" t="s">
        <v>2736</v>
      </c>
      <c r="B1915" s="37"/>
      <c r="C1915" s="37" t="s">
        <v>786</v>
      </c>
      <c r="D1915" s="64">
        <v>28301</v>
      </c>
      <c r="E1915" s="38">
        <v>2.65</v>
      </c>
      <c r="F1915" s="39">
        <v>10.740206000000001</v>
      </c>
      <c r="G1915" s="38">
        <v>1.1581166000000001</v>
      </c>
      <c r="H1915" s="38">
        <v>0.58564731000000003</v>
      </c>
      <c r="I1915" s="38">
        <v>0.26902259000000001</v>
      </c>
      <c r="J1915" s="38">
        <v>4.7187537000000002E-2</v>
      </c>
      <c r="K1915" s="38">
        <v>9.4321172999999994E-2</v>
      </c>
      <c r="L1915" s="40">
        <v>12.894501210000001</v>
      </c>
    </row>
    <row r="1916" spans="1:12" hidden="1">
      <c r="A1916" s="37" t="s">
        <v>2737</v>
      </c>
      <c r="B1916" s="37"/>
      <c r="C1916" s="37" t="s">
        <v>788</v>
      </c>
      <c r="D1916" s="64">
        <v>28102</v>
      </c>
      <c r="E1916" s="38">
        <v>2.64</v>
      </c>
      <c r="F1916" s="39">
        <v>8.5019969</v>
      </c>
      <c r="G1916" s="38">
        <v>0.91677048999999999</v>
      </c>
      <c r="H1916" s="38">
        <v>0.46360112999999997</v>
      </c>
      <c r="I1916" s="38">
        <v>0.21295953000000001</v>
      </c>
      <c r="J1916" s="38">
        <v>3.7353873000000003E-2</v>
      </c>
      <c r="K1916" s="38">
        <v>6.6736979E-3</v>
      </c>
      <c r="L1916" s="40">
        <v>10.1393556209</v>
      </c>
    </row>
    <row r="1917" spans="1:12" hidden="1">
      <c r="A1917" s="37" t="s">
        <v>2738</v>
      </c>
      <c r="B1917" s="37"/>
      <c r="C1917" s="37" t="s">
        <v>786</v>
      </c>
      <c r="D1917" s="64">
        <v>28103</v>
      </c>
      <c r="E1917" s="38">
        <v>2.65</v>
      </c>
      <c r="F1917" s="39">
        <v>10.740206000000001</v>
      </c>
      <c r="G1917" s="38">
        <v>1.1581166000000001</v>
      </c>
      <c r="H1917" s="38">
        <v>0.58564731000000003</v>
      </c>
      <c r="I1917" s="38">
        <v>0.26902259000000001</v>
      </c>
      <c r="J1917" s="38">
        <v>4.7187537000000002E-2</v>
      </c>
      <c r="K1917" s="38">
        <v>9.4321172999999994E-2</v>
      </c>
      <c r="L1917" s="40">
        <v>12.894501210000001</v>
      </c>
    </row>
    <row r="1918" spans="1:12" hidden="1">
      <c r="A1918" s="37" t="s">
        <v>2739</v>
      </c>
      <c r="B1918" s="37"/>
      <c r="C1918" s="37" t="s">
        <v>786</v>
      </c>
      <c r="D1918" s="64">
        <v>28401</v>
      </c>
      <c r="E1918" s="38">
        <v>2.4700000000000002</v>
      </c>
      <c r="F1918" s="39">
        <v>10.740206000000001</v>
      </c>
      <c r="G1918" s="38">
        <v>1.0956796</v>
      </c>
      <c r="H1918" s="38">
        <v>0.59728886000000003</v>
      </c>
      <c r="I1918" s="38">
        <v>0.32863625000000002</v>
      </c>
      <c r="J1918" s="38">
        <v>5.8984421000000002E-2</v>
      </c>
      <c r="K1918" s="38">
        <v>0.19793284</v>
      </c>
      <c r="L1918" s="40">
        <v>13.018727971000002</v>
      </c>
    </row>
    <row r="1919" spans="1:12" hidden="1">
      <c r="A1919" s="37" t="s">
        <v>2740</v>
      </c>
      <c r="B1919" s="37"/>
      <c r="C1919" s="37" t="s">
        <v>788</v>
      </c>
      <c r="D1919" s="64">
        <v>28400</v>
      </c>
      <c r="E1919" s="38">
        <v>2.4500000000000002</v>
      </c>
      <c r="F1919" s="39">
        <v>8.5019969</v>
      </c>
      <c r="G1919" s="38">
        <v>0.86734506</v>
      </c>
      <c r="H1919" s="38">
        <v>0.47281663000000002</v>
      </c>
      <c r="I1919" s="38">
        <v>0.26014998</v>
      </c>
      <c r="J1919" s="38">
        <v>4.6692341999999998E-2</v>
      </c>
      <c r="K1919" s="38">
        <v>8.8693171000000001E-2</v>
      </c>
      <c r="L1919" s="40">
        <v>10.237694082999999</v>
      </c>
    </row>
    <row r="1920" spans="1:12" hidden="1">
      <c r="A1920" s="37" t="s">
        <v>2741</v>
      </c>
      <c r="B1920" s="37"/>
      <c r="C1920" s="37" t="s">
        <v>811</v>
      </c>
      <c r="D1920" s="64">
        <v>25013</v>
      </c>
      <c r="E1920" s="38">
        <v>2.66</v>
      </c>
      <c r="F1920" s="39">
        <v>15.628235999999999</v>
      </c>
      <c r="G1920" s="38">
        <v>0.22691628999999999</v>
      </c>
      <c r="H1920" s="38">
        <v>0.18549789</v>
      </c>
      <c r="I1920" s="38">
        <v>0.21883411999999999</v>
      </c>
      <c r="J1920" s="38">
        <v>3.7768032999999999E-2</v>
      </c>
      <c r="K1920" s="38">
        <v>1.7696322E-2</v>
      </c>
      <c r="L1920" s="40">
        <v>16.314948654999998</v>
      </c>
    </row>
    <row r="1921" spans="1:12" hidden="1">
      <c r="A1921" s="37" t="s">
        <v>2742</v>
      </c>
      <c r="B1921" s="37"/>
      <c r="C1921" s="37" t="s">
        <v>811</v>
      </c>
      <c r="D1921" s="64">
        <v>25071</v>
      </c>
      <c r="E1921" s="38">
        <v>2.38</v>
      </c>
      <c r="F1921" s="39">
        <v>3.1332232000000002</v>
      </c>
      <c r="G1921" s="38">
        <v>0.48585191999999999</v>
      </c>
      <c r="H1921" s="38">
        <v>0.33556631999999997</v>
      </c>
      <c r="I1921" s="38">
        <v>0.21730690999999999</v>
      </c>
      <c r="J1921" s="38">
        <v>3.7768032999999999E-2</v>
      </c>
      <c r="K1921" s="38">
        <v>1.7696322E-2</v>
      </c>
      <c r="L1921" s="40">
        <v>4.2274127049999999</v>
      </c>
    </row>
    <row r="1922" spans="1:12" hidden="1">
      <c r="A1922" s="41" t="s">
        <v>2743</v>
      </c>
      <c r="B1922" s="41"/>
      <c r="C1922" s="41" t="s">
        <v>842</v>
      </c>
      <c r="D1922" s="65">
        <v>20132</v>
      </c>
      <c r="E1922" s="42">
        <v>2.5499999999999998</v>
      </c>
      <c r="F1922" s="43">
        <v>0.22241720000000001</v>
      </c>
      <c r="G1922" s="42">
        <v>0</v>
      </c>
      <c r="H1922" s="42">
        <v>0</v>
      </c>
      <c r="I1922" s="42">
        <v>0.27356253000000003</v>
      </c>
      <c r="J1922" s="42">
        <v>1.8180591999999999E-2</v>
      </c>
      <c r="K1922" s="42">
        <v>8.0351048999999994E-2</v>
      </c>
      <c r="L1922" s="44">
        <v>0.59451137100000007</v>
      </c>
    </row>
    <row r="1923" spans="1:12" hidden="1">
      <c r="A1923" s="41" t="s">
        <v>2744</v>
      </c>
      <c r="B1923" s="41"/>
      <c r="C1923" s="41" t="s">
        <v>842</v>
      </c>
      <c r="D1923" s="65">
        <v>20043</v>
      </c>
      <c r="E1923" s="42">
        <v>3.05</v>
      </c>
      <c r="F1923" s="43">
        <v>0.20462479</v>
      </c>
      <c r="G1923" s="42">
        <v>0.24484304000000001</v>
      </c>
      <c r="H1923" s="42">
        <v>0.27462971000000003</v>
      </c>
      <c r="I1923" s="42">
        <v>0.36438295999999998</v>
      </c>
      <c r="J1923" s="42">
        <v>2.5298596999999999E-2</v>
      </c>
      <c r="K1923" s="42">
        <v>1.1022624E-2</v>
      </c>
      <c r="L1923" s="44">
        <v>1.1248017209999999</v>
      </c>
    </row>
    <row r="1924" spans="1:12" hidden="1">
      <c r="A1924" s="41" t="s">
        <v>2745</v>
      </c>
      <c r="B1924" s="41"/>
      <c r="C1924" s="41" t="s">
        <v>842</v>
      </c>
      <c r="D1924" s="65">
        <v>20044</v>
      </c>
      <c r="E1924" s="42">
        <v>2.4900000000000002</v>
      </c>
      <c r="F1924" s="43">
        <v>0.22241720000000001</v>
      </c>
      <c r="G1924" s="42">
        <v>0</v>
      </c>
      <c r="H1924" s="42">
        <v>0</v>
      </c>
      <c r="I1924" s="42">
        <v>0.29790003999999998</v>
      </c>
      <c r="J1924" s="42">
        <v>1.8180591999999999E-2</v>
      </c>
      <c r="K1924" s="42">
        <v>8.0351048999999994E-2</v>
      </c>
      <c r="L1924" s="44">
        <v>0.61884888100000002</v>
      </c>
    </row>
    <row r="1925" spans="1:12" hidden="1">
      <c r="A1925" s="41" t="s">
        <v>2746</v>
      </c>
      <c r="B1925" s="41"/>
      <c r="C1925" s="41" t="s">
        <v>842</v>
      </c>
      <c r="D1925" s="65">
        <v>20096</v>
      </c>
      <c r="E1925" s="42">
        <v>2.95</v>
      </c>
      <c r="F1925" s="43">
        <v>0.25981177</v>
      </c>
      <c r="G1925" s="42">
        <v>0</v>
      </c>
      <c r="H1925" s="42">
        <v>0.28002042999999999</v>
      </c>
      <c r="I1925" s="42">
        <v>0.36197901999999998</v>
      </c>
      <c r="J1925" s="42">
        <v>2.1237259000000001E-2</v>
      </c>
      <c r="K1925" s="42">
        <v>0.19993026999999999</v>
      </c>
      <c r="L1925" s="44">
        <v>1.1229787489999998</v>
      </c>
    </row>
    <row r="1926" spans="1:12" hidden="1">
      <c r="A1926" s="37" t="s">
        <v>2747</v>
      </c>
      <c r="B1926" s="37"/>
      <c r="C1926" s="37" t="s">
        <v>650</v>
      </c>
      <c r="D1926" s="64">
        <v>18101</v>
      </c>
      <c r="E1926" s="38">
        <v>2.77</v>
      </c>
      <c r="F1926" s="39">
        <v>25.929207999999999</v>
      </c>
      <c r="G1926" s="38">
        <v>0.21408695999999999</v>
      </c>
      <c r="H1926" s="38">
        <v>0.47782284000000003</v>
      </c>
      <c r="I1926" s="38">
        <v>0.46779948999999998</v>
      </c>
      <c r="J1926" s="38">
        <v>1.5675970000000001E-2</v>
      </c>
      <c r="K1926" s="38">
        <v>0</v>
      </c>
      <c r="L1926" s="40">
        <v>27.104593260000001</v>
      </c>
    </row>
    <row r="1927" spans="1:12" hidden="1">
      <c r="A1927" s="37" t="s">
        <v>2748</v>
      </c>
      <c r="B1927" s="37"/>
      <c r="C1927" s="37" t="s">
        <v>650</v>
      </c>
      <c r="D1927" s="64">
        <v>18168</v>
      </c>
      <c r="E1927" s="38">
        <v>2.77</v>
      </c>
      <c r="F1927" s="39">
        <v>25.929207999999999</v>
      </c>
      <c r="G1927" s="38">
        <v>0.21408695999999999</v>
      </c>
      <c r="H1927" s="38">
        <v>0.47782284000000003</v>
      </c>
      <c r="I1927" s="38">
        <v>0.46779948999999998</v>
      </c>
      <c r="J1927" s="38">
        <v>1.5675970000000001E-2</v>
      </c>
      <c r="K1927" s="38">
        <v>0</v>
      </c>
      <c r="L1927" s="40">
        <v>27.104593260000001</v>
      </c>
    </row>
    <row r="1928" spans="1:12" hidden="1">
      <c r="A1928" s="37" t="s">
        <v>2749</v>
      </c>
      <c r="B1928" s="37"/>
      <c r="C1928" s="37" t="s">
        <v>650</v>
      </c>
      <c r="D1928" s="64">
        <v>18167</v>
      </c>
      <c r="E1928" s="38">
        <v>2.77</v>
      </c>
      <c r="F1928" s="39">
        <v>25.929207999999999</v>
      </c>
      <c r="G1928" s="38">
        <v>0.21408695999999999</v>
      </c>
      <c r="H1928" s="38">
        <v>0.47782284000000003</v>
      </c>
      <c r="I1928" s="38">
        <v>0.46779948999999998</v>
      </c>
      <c r="J1928" s="38">
        <v>1.5675970000000001E-2</v>
      </c>
      <c r="K1928" s="38">
        <v>0</v>
      </c>
      <c r="L1928" s="40">
        <v>27.104593260000001</v>
      </c>
    </row>
    <row r="1929" spans="1:12" hidden="1">
      <c r="A1929" s="37" t="s">
        <v>2750</v>
      </c>
      <c r="B1929" s="37"/>
      <c r="C1929" s="37" t="s">
        <v>788</v>
      </c>
      <c r="D1929" s="64">
        <v>36014</v>
      </c>
      <c r="E1929" s="38">
        <v>2.66</v>
      </c>
      <c r="F1929" s="39">
        <v>5.1759893000000003</v>
      </c>
      <c r="G1929" s="38">
        <v>1.028726</v>
      </c>
      <c r="H1929" s="38">
        <v>0.34413596000000002</v>
      </c>
      <c r="I1929" s="38">
        <v>0.29060693999999998</v>
      </c>
      <c r="J1929" s="38">
        <v>4.6692341999999998E-2</v>
      </c>
      <c r="K1929" s="38">
        <v>8.8693171000000001E-2</v>
      </c>
      <c r="L1929" s="40">
        <v>6.9748437130000003</v>
      </c>
    </row>
    <row r="1930" spans="1:12" hidden="1">
      <c r="A1930" s="37" t="s">
        <v>2751</v>
      </c>
      <c r="B1930" s="37"/>
      <c r="C1930" s="37" t="s">
        <v>788</v>
      </c>
      <c r="D1930" s="64">
        <v>36001</v>
      </c>
      <c r="E1930" s="38">
        <v>2.66</v>
      </c>
      <c r="F1930" s="39">
        <v>5.1759893000000003</v>
      </c>
      <c r="G1930" s="38">
        <v>1.028726</v>
      </c>
      <c r="H1930" s="38">
        <v>0.34413596000000002</v>
      </c>
      <c r="I1930" s="38">
        <v>0.29060693999999998</v>
      </c>
      <c r="J1930" s="38">
        <v>4.6692341999999998E-2</v>
      </c>
      <c r="K1930" s="38">
        <v>8.8693171000000001E-2</v>
      </c>
      <c r="L1930" s="40">
        <v>6.9748437130000003</v>
      </c>
    </row>
    <row r="1931" spans="1:12" hidden="1">
      <c r="A1931" s="37" t="s">
        <v>2752</v>
      </c>
      <c r="B1931" s="37"/>
      <c r="C1931" s="37" t="s">
        <v>788</v>
      </c>
      <c r="D1931" s="64">
        <v>36000</v>
      </c>
      <c r="E1931" s="38">
        <v>2.66</v>
      </c>
      <c r="F1931" s="39">
        <v>5.1759893000000003</v>
      </c>
      <c r="G1931" s="38">
        <v>1.028726</v>
      </c>
      <c r="H1931" s="38">
        <v>0.34413596000000002</v>
      </c>
      <c r="I1931" s="38">
        <v>0.29060693999999998</v>
      </c>
      <c r="J1931" s="38">
        <v>4.6692341999999998E-2</v>
      </c>
      <c r="K1931" s="38">
        <v>8.8693171000000001E-2</v>
      </c>
      <c r="L1931" s="40">
        <v>6.9748437130000003</v>
      </c>
    </row>
    <row r="1932" spans="1:12" hidden="1">
      <c r="A1932" s="37" t="s">
        <v>2753</v>
      </c>
      <c r="B1932" s="37"/>
      <c r="C1932" s="37" t="s">
        <v>788</v>
      </c>
      <c r="D1932" s="64">
        <v>36007</v>
      </c>
      <c r="E1932" s="38">
        <v>2.66</v>
      </c>
      <c r="F1932" s="39">
        <v>5.1759893000000003</v>
      </c>
      <c r="G1932" s="38">
        <v>1.028726</v>
      </c>
      <c r="H1932" s="38">
        <v>0.34413596000000002</v>
      </c>
      <c r="I1932" s="38">
        <v>0.29060693999999998</v>
      </c>
      <c r="J1932" s="38">
        <v>4.6692341999999998E-2</v>
      </c>
      <c r="K1932" s="38">
        <v>8.8693171000000001E-2</v>
      </c>
      <c r="L1932" s="40">
        <v>6.9748437130000003</v>
      </c>
    </row>
    <row r="1933" spans="1:12" hidden="1">
      <c r="A1933" s="37" t="s">
        <v>2754</v>
      </c>
      <c r="B1933" s="37"/>
      <c r="C1933" s="37" t="s">
        <v>811</v>
      </c>
      <c r="D1933" s="64">
        <v>25174</v>
      </c>
      <c r="E1933" s="38">
        <v>2.4700000000000002</v>
      </c>
      <c r="F1933" s="39">
        <v>4.9670117999999999</v>
      </c>
      <c r="G1933" s="38">
        <v>1.2455315</v>
      </c>
      <c r="H1933" s="38">
        <v>0.18549789</v>
      </c>
      <c r="I1933" s="38">
        <v>0.30702909</v>
      </c>
      <c r="J1933" s="38">
        <v>3.7768032999999999E-2</v>
      </c>
      <c r="K1933" s="38">
        <v>1.7696322E-2</v>
      </c>
      <c r="L1933" s="40">
        <v>6.760534635</v>
      </c>
    </row>
    <row r="1934" spans="1:12" hidden="1">
      <c r="A1934" s="37" t="s">
        <v>2755</v>
      </c>
      <c r="B1934" s="37"/>
      <c r="C1934" s="37" t="s">
        <v>811</v>
      </c>
      <c r="D1934" s="64">
        <v>25190</v>
      </c>
      <c r="E1934" s="38">
        <v>2.4700000000000002</v>
      </c>
      <c r="F1934" s="39">
        <v>3.6642915</v>
      </c>
      <c r="G1934" s="38">
        <v>0.94577286999999999</v>
      </c>
      <c r="H1934" s="38">
        <v>0.18549789</v>
      </c>
      <c r="I1934" s="38">
        <v>0.29153486000000001</v>
      </c>
      <c r="J1934" s="38">
        <v>3.7768032999999999E-2</v>
      </c>
      <c r="K1934" s="38">
        <v>1.7696322E-2</v>
      </c>
      <c r="L1934" s="40">
        <v>5.142561474999999</v>
      </c>
    </row>
    <row r="1935" spans="1:12" hidden="1">
      <c r="A1935" s="37" t="s">
        <v>2756</v>
      </c>
      <c r="B1935" s="37"/>
      <c r="C1935" s="37" t="s">
        <v>788</v>
      </c>
      <c r="D1935" s="64">
        <v>36020</v>
      </c>
      <c r="E1935" s="38">
        <v>2.66</v>
      </c>
      <c r="F1935" s="39">
        <v>5.1759893000000003</v>
      </c>
      <c r="G1935" s="38">
        <v>1.028726</v>
      </c>
      <c r="H1935" s="38">
        <v>0.34413596000000002</v>
      </c>
      <c r="I1935" s="38">
        <v>0.29060693999999998</v>
      </c>
      <c r="J1935" s="38">
        <v>4.6692341999999998E-2</v>
      </c>
      <c r="K1935" s="38">
        <v>8.8693171000000001E-2</v>
      </c>
      <c r="L1935" s="40">
        <v>6.9748437130000003</v>
      </c>
    </row>
    <row r="1936" spans="1:12" hidden="1">
      <c r="A1936" s="37" t="s">
        <v>2757</v>
      </c>
      <c r="B1936" s="37"/>
      <c r="C1936" s="37" t="s">
        <v>788</v>
      </c>
      <c r="D1936" s="64">
        <v>36008</v>
      </c>
      <c r="E1936" s="38">
        <v>2.66</v>
      </c>
      <c r="F1936" s="39">
        <v>5.1759893000000003</v>
      </c>
      <c r="G1936" s="38">
        <v>1.028726</v>
      </c>
      <c r="H1936" s="38">
        <v>0.34413596000000002</v>
      </c>
      <c r="I1936" s="38">
        <v>0.29060693999999998</v>
      </c>
      <c r="J1936" s="38">
        <v>4.6692341999999998E-2</v>
      </c>
      <c r="K1936" s="38">
        <v>8.8693171000000001E-2</v>
      </c>
      <c r="L1936" s="40">
        <v>6.9748437130000003</v>
      </c>
    </row>
    <row r="1937" spans="1:12" hidden="1">
      <c r="A1937" s="37" t="s">
        <v>2758</v>
      </c>
      <c r="B1937" s="37"/>
      <c r="C1937" s="37" t="s">
        <v>788</v>
      </c>
      <c r="D1937" s="64">
        <v>36023</v>
      </c>
      <c r="E1937" s="38">
        <v>2.66</v>
      </c>
      <c r="F1937" s="39">
        <v>5.1759893000000003</v>
      </c>
      <c r="G1937" s="38">
        <v>1.028726</v>
      </c>
      <c r="H1937" s="38">
        <v>0.34413596000000002</v>
      </c>
      <c r="I1937" s="38">
        <v>0.29060693999999998</v>
      </c>
      <c r="J1937" s="38">
        <v>4.6692341999999998E-2</v>
      </c>
      <c r="K1937" s="38">
        <v>8.8693171000000001E-2</v>
      </c>
      <c r="L1937" s="40">
        <v>6.9748437130000003</v>
      </c>
    </row>
    <row r="1938" spans="1:12" hidden="1">
      <c r="A1938" s="37" t="s">
        <v>2759</v>
      </c>
      <c r="B1938" s="37"/>
      <c r="C1938" s="37" t="s">
        <v>786</v>
      </c>
      <c r="D1938" s="64">
        <v>36033</v>
      </c>
      <c r="E1938" s="38">
        <v>2.67</v>
      </c>
      <c r="F1938" s="39">
        <v>6.8523363000000002</v>
      </c>
      <c r="G1938" s="38">
        <v>1.3618992999999999</v>
      </c>
      <c r="H1938" s="38">
        <v>0.45559123000000001</v>
      </c>
      <c r="I1938" s="38">
        <v>0.38472577000000002</v>
      </c>
      <c r="J1938" s="38">
        <v>6.1814583999999999E-2</v>
      </c>
      <c r="K1938" s="38">
        <v>0.20330878999999999</v>
      </c>
      <c r="L1938" s="40">
        <v>9.319675973999999</v>
      </c>
    </row>
    <row r="1939" spans="1:12" hidden="1">
      <c r="A1939" s="37" t="s">
        <v>2760</v>
      </c>
      <c r="B1939" s="37"/>
      <c r="C1939" s="37" t="s">
        <v>1005</v>
      </c>
      <c r="D1939" s="64">
        <v>36027</v>
      </c>
      <c r="E1939" s="38">
        <v>2.79</v>
      </c>
      <c r="F1939" s="39">
        <v>4.5091738000000001</v>
      </c>
      <c r="G1939" s="38">
        <v>0.58803899999999998</v>
      </c>
      <c r="H1939" s="38">
        <v>0.47571247999999999</v>
      </c>
      <c r="I1939" s="38">
        <v>0.20748216</v>
      </c>
      <c r="J1939" s="38">
        <v>3.7768032999999999E-2</v>
      </c>
      <c r="K1939" s="38">
        <v>9.2564276000000001E-2</v>
      </c>
      <c r="L1939" s="40">
        <v>5.9107397490000002</v>
      </c>
    </row>
    <row r="1940" spans="1:12" hidden="1">
      <c r="A1940" s="37" t="s">
        <v>2761</v>
      </c>
      <c r="B1940" s="37"/>
      <c r="C1940" s="37" t="s">
        <v>786</v>
      </c>
      <c r="D1940" s="64">
        <v>36031</v>
      </c>
      <c r="E1940" s="38">
        <v>2.67</v>
      </c>
      <c r="F1940" s="39">
        <v>6.8523363000000002</v>
      </c>
      <c r="G1940" s="38">
        <v>1.3618992999999999</v>
      </c>
      <c r="H1940" s="38">
        <v>0.45559123000000001</v>
      </c>
      <c r="I1940" s="38">
        <v>0.38472577000000002</v>
      </c>
      <c r="J1940" s="38">
        <v>6.1814583999999999E-2</v>
      </c>
      <c r="K1940" s="38">
        <v>0.20330878999999999</v>
      </c>
      <c r="L1940" s="40">
        <v>9.319675973999999</v>
      </c>
    </row>
    <row r="1941" spans="1:12" hidden="1">
      <c r="A1941" s="37" t="s">
        <v>2762</v>
      </c>
      <c r="B1941" s="37"/>
      <c r="C1941" s="37" t="s">
        <v>788</v>
      </c>
      <c r="D1941" s="64">
        <v>36002</v>
      </c>
      <c r="E1941" s="38">
        <v>2.66</v>
      </c>
      <c r="F1941" s="39">
        <v>5.1759893000000003</v>
      </c>
      <c r="G1941" s="38">
        <v>1.028726</v>
      </c>
      <c r="H1941" s="38">
        <v>0.34413596000000002</v>
      </c>
      <c r="I1941" s="38">
        <v>0.29060693999999998</v>
      </c>
      <c r="J1941" s="38">
        <v>4.6692341999999998E-2</v>
      </c>
      <c r="K1941" s="38">
        <v>8.8693171000000001E-2</v>
      </c>
      <c r="L1941" s="40">
        <v>6.9748437130000003</v>
      </c>
    </row>
    <row r="1942" spans="1:12" hidden="1">
      <c r="A1942" s="37" t="s">
        <v>2763</v>
      </c>
      <c r="B1942" s="37"/>
      <c r="C1942" s="37" t="s">
        <v>786</v>
      </c>
      <c r="D1942" s="64">
        <v>36004</v>
      </c>
      <c r="E1942" s="38">
        <v>2.67</v>
      </c>
      <c r="F1942" s="39">
        <v>6.8523363000000002</v>
      </c>
      <c r="G1942" s="38">
        <v>1.3618992999999999</v>
      </c>
      <c r="H1942" s="38">
        <v>0.45559123000000001</v>
      </c>
      <c r="I1942" s="38">
        <v>0.38472577000000002</v>
      </c>
      <c r="J1942" s="38">
        <v>6.1814583999999999E-2</v>
      </c>
      <c r="K1942" s="38">
        <v>0.20330878999999999</v>
      </c>
      <c r="L1942" s="40">
        <v>9.319675973999999</v>
      </c>
    </row>
    <row r="1943" spans="1:12" hidden="1">
      <c r="A1943" s="37" t="s">
        <v>2764</v>
      </c>
      <c r="B1943" s="37"/>
      <c r="C1943" s="37" t="s">
        <v>786</v>
      </c>
      <c r="D1943" s="64">
        <v>36030</v>
      </c>
      <c r="E1943" s="38">
        <v>2.67</v>
      </c>
      <c r="F1943" s="39">
        <v>6.8523363000000002</v>
      </c>
      <c r="G1943" s="38">
        <v>1.3618992999999999</v>
      </c>
      <c r="H1943" s="38">
        <v>0.45559123000000001</v>
      </c>
      <c r="I1943" s="38">
        <v>0.38472577000000002</v>
      </c>
      <c r="J1943" s="38">
        <v>6.1814583999999999E-2</v>
      </c>
      <c r="K1943" s="38">
        <v>0.20330878999999999</v>
      </c>
      <c r="L1943" s="40">
        <v>9.319675973999999</v>
      </c>
    </row>
    <row r="1944" spans="1:12" hidden="1">
      <c r="A1944" s="37" t="s">
        <v>2765</v>
      </c>
      <c r="B1944" s="37"/>
      <c r="C1944" s="37" t="s">
        <v>788</v>
      </c>
      <c r="D1944" s="64">
        <v>36024</v>
      </c>
      <c r="E1944" s="38">
        <v>2.66</v>
      </c>
      <c r="F1944" s="39">
        <v>5.1759893000000003</v>
      </c>
      <c r="G1944" s="38">
        <v>1.028726</v>
      </c>
      <c r="H1944" s="38">
        <v>0.34413596000000002</v>
      </c>
      <c r="I1944" s="38">
        <v>0.29060693999999998</v>
      </c>
      <c r="J1944" s="38">
        <v>4.6692341999999998E-2</v>
      </c>
      <c r="K1944" s="38">
        <v>8.8693171000000001E-2</v>
      </c>
      <c r="L1944" s="40">
        <v>6.9748437130000003</v>
      </c>
    </row>
    <row r="1945" spans="1:12" hidden="1">
      <c r="A1945" s="37" t="s">
        <v>2766</v>
      </c>
      <c r="B1945" s="37"/>
      <c r="C1945" s="37" t="s">
        <v>786</v>
      </c>
      <c r="D1945" s="64">
        <v>36006</v>
      </c>
      <c r="E1945" s="38">
        <v>2.67</v>
      </c>
      <c r="F1945" s="39">
        <v>6.8523363000000002</v>
      </c>
      <c r="G1945" s="38">
        <v>1.3618992999999999</v>
      </c>
      <c r="H1945" s="38">
        <v>0.45559123000000001</v>
      </c>
      <c r="I1945" s="38">
        <v>0.38472577000000002</v>
      </c>
      <c r="J1945" s="38">
        <v>6.1814583999999999E-2</v>
      </c>
      <c r="K1945" s="38">
        <v>0.20330878999999999</v>
      </c>
      <c r="L1945" s="40">
        <v>9.319675973999999</v>
      </c>
    </row>
    <row r="1946" spans="1:12" hidden="1">
      <c r="A1946" s="41" t="s">
        <v>2767</v>
      </c>
      <c r="B1946" s="41"/>
      <c r="C1946" s="41" t="s">
        <v>1005</v>
      </c>
      <c r="D1946" s="65">
        <v>36036</v>
      </c>
      <c r="E1946" s="42">
        <v>2.5299999999999998</v>
      </c>
      <c r="F1946" s="43">
        <v>6.8368925999999997</v>
      </c>
      <c r="G1946" s="42">
        <v>1.3130402999999999</v>
      </c>
      <c r="H1946" s="42">
        <v>0.36710677000000003</v>
      </c>
      <c r="I1946" s="42">
        <v>0.38800354999999997</v>
      </c>
      <c r="J1946" s="42">
        <v>4.9999960000000003E-2</v>
      </c>
      <c r="K1946" s="42">
        <v>9.4725686000000003E-2</v>
      </c>
      <c r="L1946" s="44">
        <v>9.0497688659999991</v>
      </c>
    </row>
    <row r="1947" spans="1:12" hidden="1">
      <c r="A1947" s="37" t="s">
        <v>2768</v>
      </c>
      <c r="B1947" s="37"/>
      <c r="C1947" s="37" t="s">
        <v>788</v>
      </c>
      <c r="D1947" s="64">
        <v>36017</v>
      </c>
      <c r="E1947" s="38">
        <v>2.66</v>
      </c>
      <c r="F1947" s="39">
        <v>5.1759893000000003</v>
      </c>
      <c r="G1947" s="38">
        <v>1.0781514000000001</v>
      </c>
      <c r="H1947" s="38">
        <v>0.27530876999999998</v>
      </c>
      <c r="I1947" s="38">
        <v>0.24341649000000001</v>
      </c>
      <c r="J1947" s="38">
        <v>3.7353873000000003E-2</v>
      </c>
      <c r="K1947" s="38">
        <v>6.6736979E-3</v>
      </c>
      <c r="L1947" s="40">
        <v>6.8168935309000007</v>
      </c>
    </row>
    <row r="1948" spans="1:12" hidden="1">
      <c r="A1948" s="37" t="s">
        <v>2769</v>
      </c>
      <c r="B1948" s="37"/>
      <c r="C1948" s="37" t="s">
        <v>786</v>
      </c>
      <c r="D1948" s="64">
        <v>36018</v>
      </c>
      <c r="E1948" s="38">
        <v>2.67</v>
      </c>
      <c r="F1948" s="39">
        <v>6.8523363000000002</v>
      </c>
      <c r="G1948" s="38">
        <v>1.4273321999999999</v>
      </c>
      <c r="H1948" s="38">
        <v>0.36447298</v>
      </c>
      <c r="I1948" s="38">
        <v>0.32225175</v>
      </c>
      <c r="J1948" s="38">
        <v>4.9451666999999998E-2</v>
      </c>
      <c r="K1948" s="38">
        <v>9.4725686000000003E-2</v>
      </c>
      <c r="L1948" s="40">
        <v>9.1105705829999994</v>
      </c>
    </row>
    <row r="1949" spans="1:12" hidden="1">
      <c r="A1949" s="37" t="s">
        <v>2770</v>
      </c>
      <c r="B1949" s="37"/>
      <c r="C1949" s="37" t="s">
        <v>788</v>
      </c>
      <c r="D1949" s="64">
        <v>36019</v>
      </c>
      <c r="E1949" s="38">
        <v>2.66</v>
      </c>
      <c r="F1949" s="39">
        <v>5.1759893000000003</v>
      </c>
      <c r="G1949" s="38">
        <v>1.028726</v>
      </c>
      <c r="H1949" s="38">
        <v>0.34413596000000002</v>
      </c>
      <c r="I1949" s="38">
        <v>0.29060693999999998</v>
      </c>
      <c r="J1949" s="38">
        <v>4.6692341999999998E-2</v>
      </c>
      <c r="K1949" s="38">
        <v>8.8693171000000001E-2</v>
      </c>
      <c r="L1949" s="40">
        <v>6.9748437130000003</v>
      </c>
    </row>
    <row r="1950" spans="1:12" hidden="1">
      <c r="A1950" s="37" t="s">
        <v>2771</v>
      </c>
      <c r="B1950" s="37"/>
      <c r="C1950" s="37" t="s">
        <v>1005</v>
      </c>
      <c r="D1950" s="64">
        <v>36035</v>
      </c>
      <c r="E1950" s="38">
        <v>2.67</v>
      </c>
      <c r="F1950" s="39">
        <v>5.2304734000000002</v>
      </c>
      <c r="G1950" s="38">
        <v>1.0395547000000001</v>
      </c>
      <c r="H1950" s="38">
        <v>0.34659633000000001</v>
      </c>
      <c r="I1950" s="38">
        <v>0.29306237000000002</v>
      </c>
      <c r="J1950" s="38">
        <v>4.7210041000000001E-2</v>
      </c>
      <c r="K1950" s="38">
        <v>0.17458375000000001</v>
      </c>
      <c r="L1950" s="40">
        <v>7.1314805909999999</v>
      </c>
    </row>
    <row r="1951" spans="1:12" hidden="1">
      <c r="A1951" s="37" t="s">
        <v>2772</v>
      </c>
      <c r="B1951" s="37"/>
      <c r="C1951" s="37" t="s">
        <v>788</v>
      </c>
      <c r="D1951" s="64">
        <v>36022</v>
      </c>
      <c r="E1951" s="38">
        <v>2.66</v>
      </c>
      <c r="F1951" s="39">
        <v>5.1759893000000003</v>
      </c>
      <c r="G1951" s="38">
        <v>1.028726</v>
      </c>
      <c r="H1951" s="38">
        <v>0.34413596000000002</v>
      </c>
      <c r="I1951" s="38">
        <v>0.29060693999999998</v>
      </c>
      <c r="J1951" s="38">
        <v>4.6692341999999998E-2</v>
      </c>
      <c r="K1951" s="38">
        <v>8.8693171000000001E-2</v>
      </c>
      <c r="L1951" s="40">
        <v>6.9748437130000003</v>
      </c>
    </row>
    <row r="1952" spans="1:12" hidden="1">
      <c r="A1952" s="37" t="s">
        <v>2773</v>
      </c>
      <c r="B1952" s="37"/>
      <c r="C1952" s="37" t="s">
        <v>788</v>
      </c>
      <c r="D1952" s="64">
        <v>36029</v>
      </c>
      <c r="E1952" s="38">
        <v>2.66</v>
      </c>
      <c r="F1952" s="39">
        <v>5.1759893000000003</v>
      </c>
      <c r="G1952" s="38">
        <v>1.0781514000000001</v>
      </c>
      <c r="H1952" s="38">
        <v>0.27530876999999998</v>
      </c>
      <c r="I1952" s="38">
        <v>0.24341649000000001</v>
      </c>
      <c r="J1952" s="38">
        <v>3.7353873000000003E-2</v>
      </c>
      <c r="K1952" s="38">
        <v>6.6736979E-3</v>
      </c>
      <c r="L1952" s="40">
        <v>6.8168935309000007</v>
      </c>
    </row>
    <row r="1953" spans="1:12" hidden="1">
      <c r="A1953" s="37" t="s">
        <v>2774</v>
      </c>
      <c r="B1953" s="37"/>
      <c r="C1953" s="37" t="s">
        <v>786</v>
      </c>
      <c r="D1953" s="64">
        <v>36032</v>
      </c>
      <c r="E1953" s="38">
        <v>2.67</v>
      </c>
      <c r="F1953" s="39">
        <v>6.8523363000000002</v>
      </c>
      <c r="G1953" s="38">
        <v>1.4273321999999999</v>
      </c>
      <c r="H1953" s="38">
        <v>0.36447298</v>
      </c>
      <c r="I1953" s="38">
        <v>0.32225175</v>
      </c>
      <c r="J1953" s="38">
        <v>4.9451666999999998E-2</v>
      </c>
      <c r="K1953" s="38">
        <v>9.4725686000000003E-2</v>
      </c>
      <c r="L1953" s="40">
        <v>9.1105705829999994</v>
      </c>
    </row>
    <row r="1954" spans="1:12" hidden="1">
      <c r="A1954" s="37" t="s">
        <v>2775</v>
      </c>
      <c r="B1954" s="37"/>
      <c r="C1954" s="37" t="s">
        <v>788</v>
      </c>
      <c r="D1954" s="64">
        <v>36016</v>
      </c>
      <c r="E1954" s="38">
        <v>2.66</v>
      </c>
      <c r="F1954" s="39">
        <v>4.1407914999999997</v>
      </c>
      <c r="G1954" s="38">
        <v>0.82298077999999997</v>
      </c>
      <c r="H1954" s="38">
        <v>0.27530876999999998</v>
      </c>
      <c r="I1954" s="38">
        <v>0.23248555000000001</v>
      </c>
      <c r="J1954" s="38">
        <v>3.7353873000000003E-2</v>
      </c>
      <c r="K1954" s="38">
        <v>6.6736979E-3</v>
      </c>
      <c r="L1954" s="40">
        <v>5.5155941708999991</v>
      </c>
    </row>
    <row r="1955" spans="1:12" hidden="1">
      <c r="A1955" s="37" t="s">
        <v>2776</v>
      </c>
      <c r="B1955" s="37"/>
      <c r="C1955" s="37" t="s">
        <v>786</v>
      </c>
      <c r="D1955" s="64">
        <v>36005</v>
      </c>
      <c r="E1955" s="38">
        <v>2.67</v>
      </c>
      <c r="F1955" s="39">
        <v>5.4818689999999997</v>
      </c>
      <c r="G1955" s="38">
        <v>1.0895195</v>
      </c>
      <c r="H1955" s="38">
        <v>0.36447298</v>
      </c>
      <c r="I1955" s="38">
        <v>0.30778062</v>
      </c>
      <c r="J1955" s="38">
        <v>4.9451666999999998E-2</v>
      </c>
      <c r="K1955" s="38">
        <v>9.4725686000000003E-2</v>
      </c>
      <c r="L1955" s="40">
        <v>7.3878194529999996</v>
      </c>
    </row>
    <row r="1956" spans="1:12" hidden="1">
      <c r="A1956" s="37" t="s">
        <v>2777</v>
      </c>
      <c r="B1956" s="37"/>
      <c r="C1956" s="37" t="s">
        <v>788</v>
      </c>
      <c r="D1956" s="64">
        <v>36003</v>
      </c>
      <c r="E1956" s="38">
        <v>2.66</v>
      </c>
      <c r="F1956" s="39">
        <v>4.1407914999999997</v>
      </c>
      <c r="G1956" s="38">
        <v>0.82298077999999997</v>
      </c>
      <c r="H1956" s="38">
        <v>0.27530876999999998</v>
      </c>
      <c r="I1956" s="38">
        <v>0.23248555000000001</v>
      </c>
      <c r="J1956" s="38">
        <v>3.7353873000000003E-2</v>
      </c>
      <c r="K1956" s="38">
        <v>6.6736979E-3</v>
      </c>
      <c r="L1956" s="40">
        <v>5.5155941708999991</v>
      </c>
    </row>
    <row r="1957" spans="1:12" hidden="1">
      <c r="A1957" s="41" t="s">
        <v>2778</v>
      </c>
      <c r="B1957" s="41"/>
      <c r="C1957" s="41" t="s">
        <v>640</v>
      </c>
      <c r="D1957" s="65">
        <v>12839</v>
      </c>
      <c r="E1957" s="42">
        <v>2.4500000000000002</v>
      </c>
      <c r="F1957" s="43">
        <v>5.6438750000000004</v>
      </c>
      <c r="G1957" s="42">
        <v>0.29382051999999997</v>
      </c>
      <c r="H1957" s="42">
        <v>0.26233268999999998</v>
      </c>
      <c r="I1957" s="42">
        <v>0.21100323000000001</v>
      </c>
      <c r="J1957" s="42">
        <v>3.5969872999999999E-2</v>
      </c>
      <c r="K1957" s="42">
        <v>6.6736979E-3</v>
      </c>
      <c r="L1957" s="44">
        <v>6.4536750109000005</v>
      </c>
    </row>
    <row r="1958" spans="1:12" hidden="1">
      <c r="A1958" s="41" t="s">
        <v>2779</v>
      </c>
      <c r="B1958" s="41"/>
      <c r="C1958" s="41" t="s">
        <v>1442</v>
      </c>
      <c r="D1958" s="65">
        <v>11214</v>
      </c>
      <c r="E1958" s="42">
        <v>2.09</v>
      </c>
      <c r="F1958" s="43">
        <v>0.52578793000000001</v>
      </c>
      <c r="G1958" s="42">
        <v>0.25055198000000001</v>
      </c>
      <c r="H1958" s="42">
        <v>0.10977533</v>
      </c>
      <c r="I1958" s="42">
        <v>0.15708530000000001</v>
      </c>
      <c r="J1958" s="42">
        <v>1.9437894000000001E-2</v>
      </c>
      <c r="K1958" s="42">
        <v>0</v>
      </c>
      <c r="L1958" s="44">
        <v>1.0626384340000001</v>
      </c>
    </row>
    <row r="1959" spans="1:12" hidden="1">
      <c r="A1959" s="41" t="s">
        <v>2780</v>
      </c>
      <c r="B1959" s="41"/>
      <c r="C1959" s="41" t="s">
        <v>842</v>
      </c>
      <c r="D1959" s="65">
        <v>20267</v>
      </c>
      <c r="E1959" s="42">
        <v>2.42</v>
      </c>
      <c r="F1959" s="43">
        <v>0.96777400000000002</v>
      </c>
      <c r="G1959" s="42">
        <v>0.10120831</v>
      </c>
      <c r="H1959" s="42">
        <v>0.18031389</v>
      </c>
      <c r="I1959" s="42">
        <v>0.20511145</v>
      </c>
      <c r="J1959" s="42">
        <v>6.8654974999999993E-2</v>
      </c>
      <c r="K1959" s="42">
        <v>2.5251829999999999E-2</v>
      </c>
      <c r="L1959" s="44">
        <v>1.5483144550000001</v>
      </c>
    </row>
    <row r="1960" spans="1:12" hidden="1">
      <c r="A1960" s="41" t="s">
        <v>2781</v>
      </c>
      <c r="B1960" s="41"/>
      <c r="C1960" s="41" t="s">
        <v>1151</v>
      </c>
      <c r="D1960" s="65">
        <v>23472</v>
      </c>
      <c r="E1960" s="42">
        <v>2.5</v>
      </c>
      <c r="F1960" s="43">
        <v>2.8897786999999999</v>
      </c>
      <c r="G1960" s="42">
        <v>0.23209542999999999</v>
      </c>
      <c r="H1960" s="42">
        <v>0.18044365000000001</v>
      </c>
      <c r="I1960" s="42">
        <v>0.22752112999999999</v>
      </c>
      <c r="J1960" s="42">
        <v>6.5229756E-2</v>
      </c>
      <c r="K1960" s="42">
        <v>2.5251829999999999E-2</v>
      </c>
      <c r="L1960" s="44">
        <v>3.6203204960000002</v>
      </c>
    </row>
    <row r="1961" spans="1:12" hidden="1">
      <c r="A1961" s="41" t="s">
        <v>2782</v>
      </c>
      <c r="B1961" s="41"/>
      <c r="C1961" s="41" t="s">
        <v>1085</v>
      </c>
      <c r="D1961" s="65">
        <v>23474</v>
      </c>
      <c r="E1961" s="42">
        <v>2.41</v>
      </c>
      <c r="F1961" s="43">
        <v>3.0236211000000002</v>
      </c>
      <c r="G1961" s="42">
        <v>0.24284511</v>
      </c>
      <c r="H1961" s="42">
        <v>0.18551566</v>
      </c>
      <c r="I1961" s="42">
        <v>0.23593432</v>
      </c>
      <c r="J1961" s="42">
        <v>3.7768032999999999E-2</v>
      </c>
      <c r="K1961" s="42">
        <v>6.6736979E-3</v>
      </c>
      <c r="L1961" s="44">
        <v>3.7323579209000006</v>
      </c>
    </row>
    <row r="1962" spans="1:12" hidden="1">
      <c r="A1962" s="41" t="s">
        <v>2783</v>
      </c>
      <c r="B1962" s="41"/>
      <c r="C1962" s="41" t="s">
        <v>1103</v>
      </c>
      <c r="D1962" s="65">
        <v>20591</v>
      </c>
      <c r="E1962" s="42">
        <v>2.2000000000000002</v>
      </c>
      <c r="F1962" s="43">
        <v>0</v>
      </c>
      <c r="G1962" s="42">
        <v>0.48049528000000002</v>
      </c>
      <c r="H1962" s="42">
        <v>7.3246029000000004E-2</v>
      </c>
      <c r="I1962" s="42">
        <v>3.4940944000000002E-2</v>
      </c>
      <c r="J1962" s="42">
        <v>4.6229295999999998E-3</v>
      </c>
      <c r="K1962" s="42">
        <v>0</v>
      </c>
      <c r="L1962" s="44">
        <v>0.59330518260000009</v>
      </c>
    </row>
    <row r="1963" spans="1:12" hidden="1">
      <c r="A1963" s="41" t="s">
        <v>2784</v>
      </c>
      <c r="B1963" s="41"/>
      <c r="C1963" s="41" t="s">
        <v>1103</v>
      </c>
      <c r="D1963" s="65">
        <v>20591</v>
      </c>
      <c r="E1963" s="42">
        <v>2.2000000000000002</v>
      </c>
      <c r="F1963" s="43">
        <v>0</v>
      </c>
      <c r="G1963" s="42">
        <v>1.0382939</v>
      </c>
      <c r="H1963" s="42">
        <v>0.18130204999999999</v>
      </c>
      <c r="I1963" s="42">
        <v>8.6487323000000005E-2</v>
      </c>
      <c r="J1963" s="42">
        <v>1.1442895E-2</v>
      </c>
      <c r="K1963" s="42">
        <v>0</v>
      </c>
      <c r="L1963" s="44">
        <v>1.3175261680000001</v>
      </c>
    </row>
    <row r="1964" spans="1:12" hidden="1">
      <c r="A1964" s="41" t="s">
        <v>2785</v>
      </c>
      <c r="B1964" s="41"/>
      <c r="C1964" s="41" t="s">
        <v>640</v>
      </c>
      <c r="D1964" s="65">
        <v>12716</v>
      </c>
      <c r="E1964" s="42">
        <v>2.2400000000000002</v>
      </c>
      <c r="F1964" s="43">
        <v>4.9064475999999999</v>
      </c>
      <c r="G1964" s="42">
        <v>0.42120422000000002</v>
      </c>
      <c r="H1964" s="42">
        <v>0.26233268999999998</v>
      </c>
      <c r="I1964" s="42">
        <v>0.21100323000000001</v>
      </c>
      <c r="J1964" s="42">
        <v>3.5969872999999999E-2</v>
      </c>
      <c r="K1964" s="42">
        <v>6.6736979E-3</v>
      </c>
      <c r="L1964" s="44">
        <v>5.8436313109000002</v>
      </c>
    </row>
    <row r="1965" spans="1:12" hidden="1">
      <c r="A1965" s="37" t="s">
        <v>2786</v>
      </c>
      <c r="B1965" s="37"/>
      <c r="C1965" s="37" t="s">
        <v>634</v>
      </c>
      <c r="D1965" s="64">
        <v>13041</v>
      </c>
      <c r="E1965" s="38">
        <v>2.68</v>
      </c>
      <c r="F1965" s="39">
        <v>0.60236424</v>
      </c>
      <c r="G1965" s="38">
        <v>0</v>
      </c>
      <c r="H1965" s="38">
        <v>0</v>
      </c>
      <c r="I1965" s="38">
        <v>0.27356253000000003</v>
      </c>
      <c r="J1965" s="38">
        <v>1.5591117999999999E-2</v>
      </c>
      <c r="K1965" s="38">
        <v>8.0351048999999994E-2</v>
      </c>
      <c r="L1965" s="40">
        <v>0.97186893699999999</v>
      </c>
    </row>
    <row r="1966" spans="1:12" hidden="1">
      <c r="A1966" s="37" t="s">
        <v>2787</v>
      </c>
      <c r="B1966" s="37"/>
      <c r="C1966" s="37" t="s">
        <v>634</v>
      </c>
      <c r="D1966" s="64">
        <v>13100</v>
      </c>
      <c r="E1966" s="38">
        <v>2.57</v>
      </c>
      <c r="F1966" s="39">
        <v>0.60236424</v>
      </c>
      <c r="G1966" s="38">
        <v>0</v>
      </c>
      <c r="H1966" s="38">
        <v>0</v>
      </c>
      <c r="I1966" s="38">
        <v>0.27356253000000003</v>
      </c>
      <c r="J1966" s="38">
        <v>6.7501727000000003E-3</v>
      </c>
      <c r="K1966" s="38">
        <v>8.0351048999999994E-2</v>
      </c>
      <c r="L1966" s="40">
        <v>0.96302799169999997</v>
      </c>
    </row>
    <row r="1967" spans="1:12" hidden="1">
      <c r="A1967" s="41" t="s">
        <v>2788</v>
      </c>
      <c r="B1967" s="41"/>
      <c r="C1967" s="41" t="s">
        <v>634</v>
      </c>
      <c r="D1967" s="65">
        <v>13042</v>
      </c>
      <c r="E1967" s="42">
        <v>2.64</v>
      </c>
      <c r="F1967" s="43">
        <v>2.4142758999999998</v>
      </c>
      <c r="G1967" s="42">
        <v>0</v>
      </c>
      <c r="H1967" s="42">
        <v>0.28118162000000002</v>
      </c>
      <c r="I1967" s="42">
        <v>0.14051053999999999</v>
      </c>
      <c r="J1967" s="42">
        <v>1.5138352000000001E-2</v>
      </c>
      <c r="K1967" s="42">
        <v>0</v>
      </c>
      <c r="L1967" s="44">
        <v>2.851106412</v>
      </c>
    </row>
    <row r="1968" spans="1:12" hidden="1">
      <c r="A1968" s="37" t="s">
        <v>2789</v>
      </c>
      <c r="B1968" s="37"/>
      <c r="C1968" s="37" t="s">
        <v>634</v>
      </c>
      <c r="D1968" s="64">
        <v>13153</v>
      </c>
      <c r="E1968" s="38">
        <v>1.98</v>
      </c>
      <c r="F1968" s="39">
        <v>8.7928377000000002E-2</v>
      </c>
      <c r="G1968" s="38">
        <v>0.16500469000000001</v>
      </c>
      <c r="H1968" s="38">
        <v>0.27727707000000001</v>
      </c>
      <c r="I1968" s="38">
        <v>0.22552098000000001</v>
      </c>
      <c r="J1968" s="38">
        <v>3.7768032999999999E-2</v>
      </c>
      <c r="K1968" s="38">
        <v>6.6736979E-3</v>
      </c>
      <c r="L1968" s="40">
        <v>0.80017284790000009</v>
      </c>
    </row>
    <row r="1969" spans="1:12" hidden="1">
      <c r="A1969" s="37" t="s">
        <v>2790</v>
      </c>
      <c r="B1969" s="37"/>
      <c r="C1969" s="37" t="s">
        <v>1199</v>
      </c>
      <c r="D1969" s="64">
        <v>11056</v>
      </c>
      <c r="E1969" s="38">
        <v>2.79</v>
      </c>
      <c r="F1969" s="39">
        <v>4.1472446999999999</v>
      </c>
      <c r="G1969" s="38">
        <v>0.26214558999999998</v>
      </c>
      <c r="H1969" s="38">
        <v>0.47782284000000003</v>
      </c>
      <c r="I1969" s="38">
        <v>0.33384881</v>
      </c>
      <c r="J1969" s="38">
        <v>1.5675970000000001E-2</v>
      </c>
      <c r="K1969" s="38">
        <v>0</v>
      </c>
      <c r="L1969" s="40">
        <v>5.2367379100000004</v>
      </c>
    </row>
    <row r="1970" spans="1:12" hidden="1">
      <c r="A1970" s="41" t="s">
        <v>2791</v>
      </c>
      <c r="B1970" s="41"/>
      <c r="C1970" s="41" t="s">
        <v>668</v>
      </c>
      <c r="D1970" s="65">
        <v>23081</v>
      </c>
      <c r="E1970" s="42">
        <v>2.13</v>
      </c>
      <c r="F1970" s="43">
        <v>2.9727744999999999</v>
      </c>
      <c r="G1970" s="42">
        <v>0.23396502</v>
      </c>
      <c r="H1970" s="42">
        <v>0.28782913999999998</v>
      </c>
      <c r="I1970" s="42">
        <v>0.13650217000000001</v>
      </c>
      <c r="J1970" s="42">
        <v>1.9437894000000001E-2</v>
      </c>
      <c r="K1970" s="42">
        <v>0</v>
      </c>
      <c r="L1970" s="44">
        <v>3.6505087239999998</v>
      </c>
    </row>
    <row r="1971" spans="1:12" hidden="1">
      <c r="A1971" s="37" t="s">
        <v>2792</v>
      </c>
      <c r="B1971" s="37"/>
      <c r="C1971" s="37" t="s">
        <v>631</v>
      </c>
      <c r="D1971" s="64">
        <v>8933</v>
      </c>
      <c r="E1971" s="38">
        <v>3.14</v>
      </c>
      <c r="F1971" s="39">
        <v>4.6280125999999999</v>
      </c>
      <c r="G1971" s="38">
        <v>0.16547801000000001</v>
      </c>
      <c r="H1971" s="38">
        <v>0.27081404999999997</v>
      </c>
      <c r="I1971" s="38">
        <v>0.48073124</v>
      </c>
      <c r="J1971" s="38">
        <v>3.7768032999999999E-2</v>
      </c>
      <c r="K1971" s="38">
        <v>6.6736979E-3</v>
      </c>
      <c r="L1971" s="40">
        <v>5.5894776309000003</v>
      </c>
    </row>
    <row r="1972" spans="1:12" hidden="1">
      <c r="A1972" s="37" t="s">
        <v>2793</v>
      </c>
      <c r="B1972" s="37"/>
      <c r="C1972" s="37" t="s">
        <v>631</v>
      </c>
      <c r="D1972" s="64">
        <v>8932</v>
      </c>
      <c r="E1972" s="38">
        <v>3.14</v>
      </c>
      <c r="F1972" s="39">
        <v>4.6280125999999999</v>
      </c>
      <c r="G1972" s="38">
        <v>0.16547801000000001</v>
      </c>
      <c r="H1972" s="38">
        <v>0.27081404999999997</v>
      </c>
      <c r="I1972" s="38">
        <v>0.48073124</v>
      </c>
      <c r="J1972" s="38">
        <v>3.7768032999999999E-2</v>
      </c>
      <c r="K1972" s="38">
        <v>9.2564276000000001E-2</v>
      </c>
      <c r="L1972" s="40">
        <v>5.6753682090000002</v>
      </c>
    </row>
    <row r="1973" spans="1:12" hidden="1">
      <c r="A1973" s="41" t="s">
        <v>2794</v>
      </c>
      <c r="B1973" s="41"/>
      <c r="C1973" s="41" t="s">
        <v>631</v>
      </c>
      <c r="D1973" s="65">
        <v>8903</v>
      </c>
      <c r="E1973" s="42">
        <v>2.59</v>
      </c>
      <c r="F1973" s="43">
        <v>5.2331357000000001</v>
      </c>
      <c r="G1973" s="42">
        <v>0.18612297999999999</v>
      </c>
      <c r="H1973" s="42">
        <v>0.27081862000000001</v>
      </c>
      <c r="I1973" s="42">
        <v>0.21363243000000001</v>
      </c>
      <c r="J1973" s="42">
        <v>3.7768032999999999E-2</v>
      </c>
      <c r="K1973" s="42">
        <v>9.2564276000000001E-2</v>
      </c>
      <c r="L1973" s="44">
        <v>6.034042039</v>
      </c>
    </row>
    <row r="1974" spans="1:12" hidden="1">
      <c r="A1974" s="41" t="s">
        <v>2795</v>
      </c>
      <c r="B1974" s="41"/>
      <c r="C1974" s="41" t="s">
        <v>631</v>
      </c>
      <c r="D1974" s="65">
        <v>8910</v>
      </c>
      <c r="E1974" s="42">
        <v>2.65</v>
      </c>
      <c r="F1974" s="43">
        <v>4.8888597000000003</v>
      </c>
      <c r="G1974" s="42">
        <v>0.60275889999999999</v>
      </c>
      <c r="H1974" s="42">
        <v>0.27082537000000001</v>
      </c>
      <c r="I1974" s="42">
        <v>0.25541594000000001</v>
      </c>
      <c r="J1974" s="42">
        <v>3.7768032999999999E-2</v>
      </c>
      <c r="K1974" s="42">
        <v>6.6736979E-3</v>
      </c>
      <c r="L1974" s="44">
        <v>6.0623016409000003</v>
      </c>
    </row>
    <row r="1975" spans="1:12" hidden="1">
      <c r="A1975" s="41" t="s">
        <v>2796</v>
      </c>
      <c r="B1975" s="41"/>
      <c r="C1975" s="41" t="s">
        <v>631</v>
      </c>
      <c r="D1975" s="65">
        <v>8912</v>
      </c>
      <c r="E1975" s="42">
        <v>2.66</v>
      </c>
      <c r="F1975" s="43">
        <v>4.8888597000000003</v>
      </c>
      <c r="G1975" s="42">
        <v>0.60275889999999999</v>
      </c>
      <c r="H1975" s="42">
        <v>0.27082537000000001</v>
      </c>
      <c r="I1975" s="42">
        <v>0.25541594000000001</v>
      </c>
      <c r="J1975" s="42">
        <v>3.7768032999999999E-2</v>
      </c>
      <c r="K1975" s="42">
        <v>9.2564276000000001E-2</v>
      </c>
      <c r="L1975" s="44">
        <v>6.1481922190000002</v>
      </c>
    </row>
    <row r="1976" spans="1:12" hidden="1">
      <c r="A1976" s="41" t="s">
        <v>2797</v>
      </c>
      <c r="B1976" s="41"/>
      <c r="C1976" s="41" t="s">
        <v>631</v>
      </c>
      <c r="D1976" s="65">
        <v>8937</v>
      </c>
      <c r="E1976" s="42">
        <v>2.5499999999999998</v>
      </c>
      <c r="F1976" s="43">
        <v>1.9131691</v>
      </c>
      <c r="G1976" s="42">
        <v>0.16910754</v>
      </c>
      <c r="H1976" s="42">
        <v>0.27084978999999998</v>
      </c>
      <c r="I1976" s="42">
        <v>0.20515917</v>
      </c>
      <c r="J1976" s="42">
        <v>3.7768032999999999E-2</v>
      </c>
      <c r="K1976" s="42">
        <v>6.6736979E-3</v>
      </c>
      <c r="L1976" s="44">
        <v>2.6027273308999996</v>
      </c>
    </row>
    <row r="1977" spans="1:12" hidden="1">
      <c r="A1977" s="41" t="s">
        <v>2798</v>
      </c>
      <c r="B1977" s="41"/>
      <c r="C1977" s="41" t="s">
        <v>644</v>
      </c>
      <c r="D1977" s="65">
        <v>25405</v>
      </c>
      <c r="E1977" s="42">
        <v>1.93</v>
      </c>
      <c r="F1977" s="43">
        <v>3.4454577</v>
      </c>
      <c r="G1977" s="42">
        <v>0.31370956</v>
      </c>
      <c r="H1977" s="42">
        <v>0.10405617</v>
      </c>
      <c r="I1977" s="42">
        <v>0.21565175</v>
      </c>
      <c r="J1977" s="42">
        <v>3.7768032999999999E-2</v>
      </c>
      <c r="K1977" s="42">
        <v>9.2564276000000001E-2</v>
      </c>
      <c r="L1977" s="44">
        <v>4.2092074889999997</v>
      </c>
    </row>
    <row r="1978" spans="1:12" hidden="1">
      <c r="A1978" s="41" t="s">
        <v>2799</v>
      </c>
      <c r="B1978" s="41"/>
      <c r="C1978" s="41" t="s">
        <v>816</v>
      </c>
      <c r="D1978" s="65">
        <v>9340</v>
      </c>
      <c r="E1978" s="42">
        <v>1.7610676001506138</v>
      </c>
      <c r="F1978" s="43">
        <v>7.2248763</v>
      </c>
      <c r="G1978" s="42">
        <v>5.4581485999999999E-2</v>
      </c>
      <c r="H1978" s="42">
        <v>0.26506589000000003</v>
      </c>
      <c r="I1978" s="42">
        <v>0.11784259</v>
      </c>
      <c r="J1978" s="42">
        <v>1.606076E-2</v>
      </c>
      <c r="K1978" s="42">
        <v>0</v>
      </c>
      <c r="L1978" s="44">
        <v>7.6784270260000005</v>
      </c>
    </row>
    <row r="1979" spans="1:12" hidden="1">
      <c r="A1979" s="41" t="s">
        <v>2800</v>
      </c>
      <c r="B1979" s="41"/>
      <c r="C1979" s="41" t="s">
        <v>816</v>
      </c>
      <c r="D1979" s="65">
        <v>9341</v>
      </c>
      <c r="E1979" s="42">
        <v>2.25</v>
      </c>
      <c r="F1979" s="43">
        <v>3.1979731999999998</v>
      </c>
      <c r="G1979" s="42">
        <v>2.4159600999999999E-2</v>
      </c>
      <c r="H1979" s="42">
        <v>8.0555266E-2</v>
      </c>
      <c r="I1979" s="42">
        <v>5.2161093999999998E-2</v>
      </c>
      <c r="J1979" s="42">
        <v>7.1088536999999999E-3</v>
      </c>
      <c r="K1979" s="42">
        <v>1.1022624E-2</v>
      </c>
      <c r="L1979" s="44">
        <v>3.3729806387000005</v>
      </c>
    </row>
    <row r="1980" spans="1:12" hidden="1">
      <c r="A1980" s="41" t="s">
        <v>2801</v>
      </c>
      <c r="B1980" s="41"/>
      <c r="C1980" s="41" t="s">
        <v>816</v>
      </c>
      <c r="D1980" s="65">
        <v>9341</v>
      </c>
      <c r="E1980" s="42">
        <v>2.5499999999999998</v>
      </c>
      <c r="F1980" s="43">
        <v>2.3816407000000002</v>
      </c>
      <c r="G1980" s="42">
        <v>0</v>
      </c>
      <c r="H1980" s="42">
        <v>8.0555266E-2</v>
      </c>
      <c r="I1980" s="42">
        <v>0.15671028000000001</v>
      </c>
      <c r="J1980" s="42">
        <v>7.1090323999999996E-3</v>
      </c>
      <c r="K1980" s="42">
        <v>1.1022624E-2</v>
      </c>
      <c r="L1980" s="44">
        <v>2.6370379024000004</v>
      </c>
    </row>
    <row r="1981" spans="1:12" hidden="1">
      <c r="A1981" s="41" t="s">
        <v>2802</v>
      </c>
      <c r="B1981" s="41"/>
      <c r="C1981" s="41" t="s">
        <v>816</v>
      </c>
      <c r="D1981" s="65">
        <v>9340</v>
      </c>
      <c r="E1981" s="42">
        <v>2.5499999999999998</v>
      </c>
      <c r="F1981" s="43">
        <v>5.3806140999999998</v>
      </c>
      <c r="G1981" s="42">
        <v>0</v>
      </c>
      <c r="H1981" s="42">
        <v>0.26506589000000003</v>
      </c>
      <c r="I1981" s="42">
        <v>0.35404060999999998</v>
      </c>
      <c r="J1981" s="42">
        <v>1.606076E-2</v>
      </c>
      <c r="K1981" s="42">
        <v>0</v>
      </c>
      <c r="L1981" s="44">
        <v>6.0157813600000001</v>
      </c>
    </row>
    <row r="1982" spans="1:12" hidden="1">
      <c r="A1982" s="41" t="s">
        <v>2803</v>
      </c>
      <c r="B1982" s="41"/>
      <c r="C1982" s="41" t="s">
        <v>640</v>
      </c>
      <c r="D1982" s="65">
        <v>12749</v>
      </c>
      <c r="E1982" s="42">
        <v>2.2400000000000002</v>
      </c>
      <c r="F1982" s="43">
        <v>4.9317868999999996</v>
      </c>
      <c r="G1982" s="42">
        <v>0.41883789999999999</v>
      </c>
      <c r="H1982" s="42">
        <v>0.26233268999999998</v>
      </c>
      <c r="I1982" s="42">
        <v>0.21100323000000001</v>
      </c>
      <c r="J1982" s="42">
        <v>3.5969872999999999E-2</v>
      </c>
      <c r="K1982" s="42">
        <v>6.6736979E-3</v>
      </c>
      <c r="L1982" s="44">
        <v>5.8666042908999998</v>
      </c>
    </row>
    <row r="1983" spans="1:12" hidden="1">
      <c r="A1983" s="41" t="s">
        <v>2804</v>
      </c>
      <c r="B1983" s="41"/>
      <c r="C1983" s="41" t="s">
        <v>842</v>
      </c>
      <c r="D1983" s="65">
        <v>20089</v>
      </c>
      <c r="E1983" s="42">
        <v>2.68</v>
      </c>
      <c r="F1983" s="43">
        <v>0.35621594000000001</v>
      </c>
      <c r="G1983" s="42">
        <v>0</v>
      </c>
      <c r="H1983" s="42">
        <v>0</v>
      </c>
      <c r="I1983" s="42">
        <v>0.22561858000000001</v>
      </c>
      <c r="J1983" s="42">
        <v>1.007658E-2</v>
      </c>
      <c r="K1983" s="42">
        <v>9.9362450999999994E-3</v>
      </c>
      <c r="L1983" s="44">
        <v>0.60184734510000004</v>
      </c>
    </row>
    <row r="1984" spans="1:12" hidden="1">
      <c r="A1984" s="41" t="s">
        <v>2805</v>
      </c>
      <c r="B1984" s="41"/>
      <c r="C1984" s="41" t="s">
        <v>842</v>
      </c>
      <c r="D1984" s="65">
        <v>20045</v>
      </c>
      <c r="E1984" s="42">
        <v>2.4300000000000002</v>
      </c>
      <c r="F1984" s="43">
        <v>0.35621594000000001</v>
      </c>
      <c r="G1984" s="42">
        <v>0</v>
      </c>
      <c r="H1984" s="42">
        <v>0</v>
      </c>
      <c r="I1984" s="42">
        <v>0.22561858000000001</v>
      </c>
      <c r="J1984" s="42">
        <v>1.007658E-2</v>
      </c>
      <c r="K1984" s="42">
        <v>9.9362450999999994E-3</v>
      </c>
      <c r="L1984" s="44">
        <v>0.60184734510000004</v>
      </c>
    </row>
    <row r="1985" spans="1:12" hidden="1">
      <c r="A1985" s="41" t="s">
        <v>2806</v>
      </c>
      <c r="B1985" s="41"/>
      <c r="C1985" s="41" t="s">
        <v>826</v>
      </c>
      <c r="D1985" s="65">
        <v>26052</v>
      </c>
      <c r="E1985" s="42">
        <v>3.64</v>
      </c>
      <c r="F1985" s="43">
        <v>9.3213296000000003</v>
      </c>
      <c r="G1985" s="42">
        <v>0</v>
      </c>
      <c r="H1985" s="42">
        <v>0.27530876999999998</v>
      </c>
      <c r="I1985" s="42">
        <v>1.1705296999999999</v>
      </c>
      <c r="J1985" s="42">
        <v>3.7353873000000003E-2</v>
      </c>
      <c r="K1985" s="42">
        <v>6.6736979E-3</v>
      </c>
      <c r="L1985" s="44">
        <v>10.811195640900001</v>
      </c>
    </row>
    <row r="1986" spans="1:12" hidden="1">
      <c r="A1986" s="41" t="s">
        <v>2807</v>
      </c>
      <c r="B1986" s="41"/>
      <c r="C1986" s="41" t="s">
        <v>873</v>
      </c>
      <c r="D1986" s="65">
        <v>26073</v>
      </c>
      <c r="E1986" s="42">
        <v>3.52</v>
      </c>
      <c r="F1986" s="43">
        <v>11.381883999999999</v>
      </c>
      <c r="G1986" s="42">
        <v>0</v>
      </c>
      <c r="H1986" s="42">
        <v>0.22504651000000001</v>
      </c>
      <c r="I1986" s="42">
        <v>1.4292847</v>
      </c>
      <c r="J1986" s="42">
        <v>4.5611246000000001E-2</v>
      </c>
      <c r="K1986" s="42">
        <v>9.4039550999999999E-2</v>
      </c>
      <c r="L1986" s="44">
        <v>13.175866007</v>
      </c>
    </row>
    <row r="1987" spans="1:12" hidden="1">
      <c r="A1987" s="41" t="s">
        <v>2808</v>
      </c>
      <c r="B1987" s="41"/>
      <c r="C1987" s="41" t="s">
        <v>873</v>
      </c>
      <c r="D1987" s="65">
        <v>26031</v>
      </c>
      <c r="E1987" s="42">
        <v>3.52</v>
      </c>
      <c r="F1987" s="43">
        <v>11.381883999999999</v>
      </c>
      <c r="G1987" s="42">
        <v>0</v>
      </c>
      <c r="H1987" s="42">
        <v>0.22504651000000001</v>
      </c>
      <c r="I1987" s="42">
        <v>1.4292847</v>
      </c>
      <c r="J1987" s="42">
        <v>4.5611246000000001E-2</v>
      </c>
      <c r="K1987" s="42">
        <v>9.4039550999999999E-2</v>
      </c>
      <c r="L1987" s="44">
        <v>13.175866007</v>
      </c>
    </row>
    <row r="1988" spans="1:12" hidden="1">
      <c r="A1988" s="37" t="s">
        <v>2809</v>
      </c>
      <c r="B1988" s="37"/>
      <c r="C1988" s="37" t="s">
        <v>807</v>
      </c>
      <c r="D1988" s="64">
        <v>11016</v>
      </c>
      <c r="E1988" s="38">
        <v>3.75</v>
      </c>
      <c r="F1988" s="39">
        <v>8.3361508000000001E-2</v>
      </c>
      <c r="G1988" s="38">
        <v>0</v>
      </c>
      <c r="H1988" s="38">
        <v>0.32904318999999999</v>
      </c>
      <c r="I1988" s="38">
        <v>0.16258027</v>
      </c>
      <c r="J1988" s="38">
        <v>1.9594963E-2</v>
      </c>
      <c r="K1988" s="38">
        <v>8.0351048999999994E-2</v>
      </c>
      <c r="L1988" s="40">
        <v>0.67493097999999996</v>
      </c>
    </row>
    <row r="1989" spans="1:12" hidden="1">
      <c r="A1989" s="37" t="s">
        <v>2810</v>
      </c>
      <c r="B1989" s="37"/>
      <c r="C1989" s="37" t="s">
        <v>634</v>
      </c>
      <c r="D1989" s="64">
        <v>13044</v>
      </c>
      <c r="E1989" s="38">
        <v>2.46</v>
      </c>
      <c r="F1989" s="39">
        <v>0.1487964</v>
      </c>
      <c r="G1989" s="38">
        <v>0</v>
      </c>
      <c r="H1989" s="38">
        <v>0</v>
      </c>
      <c r="I1989" s="38">
        <v>0.26207109000000001</v>
      </c>
      <c r="J1989" s="38">
        <v>1.3720184E-2</v>
      </c>
      <c r="K1989" s="38">
        <v>3.2140419000000003E-2</v>
      </c>
      <c r="L1989" s="40">
        <v>0.45672809300000006</v>
      </c>
    </row>
    <row r="1990" spans="1:12" hidden="1">
      <c r="A1990" s="37" t="s">
        <v>2811</v>
      </c>
      <c r="B1990" s="37"/>
      <c r="C1990" s="37" t="s">
        <v>634</v>
      </c>
      <c r="D1990" s="64">
        <v>13045</v>
      </c>
      <c r="E1990" s="38">
        <v>2.46</v>
      </c>
      <c r="F1990" s="39">
        <v>0.1487964</v>
      </c>
      <c r="G1990" s="38">
        <v>0</v>
      </c>
      <c r="H1990" s="38">
        <v>0</v>
      </c>
      <c r="I1990" s="38">
        <v>0.26207109000000001</v>
      </c>
      <c r="J1990" s="38">
        <v>1.3720184E-2</v>
      </c>
      <c r="K1990" s="38">
        <v>3.2140419000000003E-2</v>
      </c>
      <c r="L1990" s="40">
        <v>0.45672809300000006</v>
      </c>
    </row>
    <row r="1991" spans="1:12" hidden="1">
      <c r="A1991" s="37" t="s">
        <v>2812</v>
      </c>
      <c r="B1991" s="37"/>
      <c r="C1991" s="37" t="s">
        <v>634</v>
      </c>
      <c r="D1991" s="64">
        <v>13112</v>
      </c>
      <c r="E1991" s="38">
        <v>2.46</v>
      </c>
      <c r="F1991" s="39">
        <v>0.1487964</v>
      </c>
      <c r="G1991" s="38">
        <v>0</v>
      </c>
      <c r="H1991" s="38">
        <v>0</v>
      </c>
      <c r="I1991" s="38">
        <v>0.26207109000000001</v>
      </c>
      <c r="J1991" s="38">
        <v>1.3720184E-2</v>
      </c>
      <c r="K1991" s="38">
        <v>3.2140419000000003E-2</v>
      </c>
      <c r="L1991" s="40">
        <v>0.45672809300000006</v>
      </c>
    </row>
    <row r="1992" spans="1:12" hidden="1">
      <c r="A1992" s="41" t="s">
        <v>2813</v>
      </c>
      <c r="B1992" s="41"/>
      <c r="C1992" s="41" t="s">
        <v>634</v>
      </c>
      <c r="D1992" s="65">
        <v>13046</v>
      </c>
      <c r="E1992" s="42">
        <v>2.75</v>
      </c>
      <c r="F1992" s="43">
        <v>0.58301133999999999</v>
      </c>
      <c r="G1992" s="42">
        <v>0</v>
      </c>
      <c r="H1992" s="42">
        <v>0.28118162000000002</v>
      </c>
      <c r="I1992" s="42">
        <v>0.15990695999999999</v>
      </c>
      <c r="J1992" s="42">
        <v>1.5138352000000001E-2</v>
      </c>
      <c r="K1992" s="42">
        <v>0</v>
      </c>
      <c r="L1992" s="44">
        <v>1.039238272</v>
      </c>
    </row>
    <row r="1993" spans="1:12" hidden="1">
      <c r="A1993" s="41" t="s">
        <v>2814</v>
      </c>
      <c r="B1993" s="41"/>
      <c r="C1993" s="41" t="s">
        <v>826</v>
      </c>
      <c r="D1993" s="65">
        <v>26063</v>
      </c>
      <c r="E1993" s="42">
        <v>3.68</v>
      </c>
      <c r="F1993" s="43">
        <v>9.3213296000000003</v>
      </c>
      <c r="G1993" s="42">
        <v>0</v>
      </c>
      <c r="H1993" s="42">
        <v>0.27530876999999998</v>
      </c>
      <c r="I1993" s="42">
        <v>1.1705296999999999</v>
      </c>
      <c r="J1993" s="42">
        <v>3.7353873000000003E-2</v>
      </c>
      <c r="K1993" s="42">
        <v>6.6736979E-3</v>
      </c>
      <c r="L1993" s="44">
        <v>10.811195640900001</v>
      </c>
    </row>
    <row r="1994" spans="1:12" hidden="1">
      <c r="A1994" s="41" t="s">
        <v>2815</v>
      </c>
      <c r="B1994" s="41"/>
      <c r="C1994" s="41" t="s">
        <v>873</v>
      </c>
      <c r="D1994" s="65">
        <v>26148</v>
      </c>
      <c r="E1994" s="42">
        <v>3.56</v>
      </c>
      <c r="F1994" s="43">
        <v>11.381883999999999</v>
      </c>
      <c r="G1994" s="42">
        <v>0</v>
      </c>
      <c r="H1994" s="42">
        <v>0.22504651000000001</v>
      </c>
      <c r="I1994" s="42">
        <v>1.4292847</v>
      </c>
      <c r="J1994" s="42">
        <v>4.5611246000000001E-2</v>
      </c>
      <c r="K1994" s="42">
        <v>9.4039550999999999E-2</v>
      </c>
      <c r="L1994" s="44">
        <v>13.175866007</v>
      </c>
    </row>
    <row r="1995" spans="1:12" hidden="1">
      <c r="A1995" s="41" t="s">
        <v>2816</v>
      </c>
      <c r="B1995" s="41"/>
      <c r="C1995" s="41" t="s">
        <v>811</v>
      </c>
      <c r="D1995" s="65">
        <v>25018</v>
      </c>
      <c r="E1995" s="42">
        <v>2.52</v>
      </c>
      <c r="F1995" s="43">
        <v>0.31117987000000003</v>
      </c>
      <c r="G1995" s="42">
        <v>0.17111103</v>
      </c>
      <c r="H1995" s="42">
        <v>0.18549789</v>
      </c>
      <c r="I1995" s="42">
        <v>0.25637861000000001</v>
      </c>
      <c r="J1995" s="42">
        <v>3.7768032999999999E-2</v>
      </c>
      <c r="K1995" s="42">
        <v>1.7696322E-2</v>
      </c>
      <c r="L1995" s="44">
        <v>0.97963175499999999</v>
      </c>
    </row>
    <row r="1996" spans="1:12" hidden="1">
      <c r="A1996" s="41" t="s">
        <v>2817</v>
      </c>
      <c r="B1996" s="41"/>
      <c r="C1996" s="41" t="s">
        <v>811</v>
      </c>
      <c r="D1996" s="65">
        <v>25019</v>
      </c>
      <c r="E1996" s="42">
        <v>1.2</v>
      </c>
      <c r="F1996" s="43">
        <v>2.5748353000000002</v>
      </c>
      <c r="G1996" s="42">
        <v>0.20606363</v>
      </c>
      <c r="H1996" s="42">
        <v>0.18868170000000001</v>
      </c>
      <c r="I1996" s="42">
        <v>0.15916234000000001</v>
      </c>
      <c r="J1996" s="42">
        <v>1.7000629E-2</v>
      </c>
      <c r="K1996" s="42">
        <v>4.895763E-3</v>
      </c>
      <c r="L1996" s="44">
        <v>3.1506393620000002</v>
      </c>
    </row>
    <row r="1997" spans="1:12" hidden="1">
      <c r="A1997" s="37" t="s">
        <v>2818</v>
      </c>
      <c r="B1997" s="37"/>
      <c r="C1997" s="37" t="s">
        <v>811</v>
      </c>
      <c r="D1997" s="64">
        <v>25110</v>
      </c>
      <c r="E1997" s="38">
        <v>2.94</v>
      </c>
      <c r="F1997" s="39">
        <v>6.1247704000000001</v>
      </c>
      <c r="G1997" s="38">
        <v>0.48651935000000002</v>
      </c>
      <c r="H1997" s="38">
        <v>0.18198048</v>
      </c>
      <c r="I1997" s="38">
        <v>0.40971503999999997</v>
      </c>
      <c r="J1997" s="38">
        <v>2.6628465E-2</v>
      </c>
      <c r="K1997" s="38">
        <v>1.7696322E-2</v>
      </c>
      <c r="L1997" s="40">
        <v>7.247310057</v>
      </c>
    </row>
    <row r="1998" spans="1:12" hidden="1">
      <c r="A1998" s="41" t="s">
        <v>2819</v>
      </c>
      <c r="B1998" s="41"/>
      <c r="C1998" s="41" t="s">
        <v>811</v>
      </c>
      <c r="D1998" s="65">
        <v>25192</v>
      </c>
      <c r="E1998" s="42">
        <v>2.65</v>
      </c>
      <c r="F1998" s="43">
        <v>1.3915559</v>
      </c>
      <c r="G1998" s="42">
        <v>0.24202752</v>
      </c>
      <c r="H1998" s="42">
        <v>0.17152753000000001</v>
      </c>
      <c r="I1998" s="42">
        <v>0.13279846000000001</v>
      </c>
      <c r="J1998" s="42">
        <v>1.5811623E-2</v>
      </c>
      <c r="K1998" s="42">
        <v>1.1022624E-2</v>
      </c>
      <c r="L1998" s="44">
        <v>1.9647436570000001</v>
      </c>
    </row>
    <row r="1999" spans="1:12" hidden="1">
      <c r="A1999" s="41" t="s">
        <v>2820</v>
      </c>
      <c r="B1999" s="41"/>
      <c r="C1999" s="41" t="s">
        <v>640</v>
      </c>
      <c r="D1999" s="65">
        <v>12045</v>
      </c>
      <c r="E1999" s="42">
        <v>1.81</v>
      </c>
      <c r="F1999" s="43">
        <v>4.5258165999999997</v>
      </c>
      <c r="G1999" s="42">
        <v>0.25530587999999999</v>
      </c>
      <c r="H1999" s="42">
        <v>0.26233268999999998</v>
      </c>
      <c r="I1999" s="42">
        <v>0.21100323000000001</v>
      </c>
      <c r="J1999" s="42">
        <v>3.5969872999999999E-2</v>
      </c>
      <c r="K1999" s="42">
        <v>6.6736979E-3</v>
      </c>
      <c r="L1999" s="44">
        <v>5.2971019709</v>
      </c>
    </row>
    <row r="2000" spans="1:12" hidden="1">
      <c r="A2000" s="41" t="s">
        <v>2821</v>
      </c>
      <c r="B2000" s="41"/>
      <c r="C2000" s="41" t="s">
        <v>826</v>
      </c>
      <c r="D2000" s="65">
        <v>26162</v>
      </c>
      <c r="E2000" s="42">
        <v>3.64</v>
      </c>
      <c r="F2000" s="43">
        <v>9.3213296000000003</v>
      </c>
      <c r="G2000" s="42">
        <v>0</v>
      </c>
      <c r="H2000" s="42">
        <v>0.27530876999999998</v>
      </c>
      <c r="I2000" s="42">
        <v>1.1705296999999999</v>
      </c>
      <c r="J2000" s="42">
        <v>3.7353873000000003E-2</v>
      </c>
      <c r="K2000" s="42">
        <v>6.6736979E-3</v>
      </c>
      <c r="L2000" s="44">
        <v>10.811195640900001</v>
      </c>
    </row>
    <row r="2001" spans="1:12" hidden="1">
      <c r="A2001" s="41" t="s">
        <v>2822</v>
      </c>
      <c r="B2001" s="41"/>
      <c r="C2001" s="41" t="s">
        <v>634</v>
      </c>
      <c r="D2001" s="65">
        <v>13047</v>
      </c>
      <c r="E2001" s="42">
        <v>3.12</v>
      </c>
      <c r="F2001" s="43">
        <v>0.35608494000000002</v>
      </c>
      <c r="G2001" s="42">
        <v>0</v>
      </c>
      <c r="H2001" s="42">
        <v>0</v>
      </c>
      <c r="I2001" s="42">
        <v>0.27356253000000003</v>
      </c>
      <c r="J2001" s="42">
        <v>6.7501727000000003E-3</v>
      </c>
      <c r="K2001" s="42">
        <v>8.0351048999999994E-2</v>
      </c>
      <c r="L2001" s="44">
        <v>0.71674869170000011</v>
      </c>
    </row>
    <row r="2002" spans="1:12" hidden="1">
      <c r="A2002" s="41" t="s">
        <v>2823</v>
      </c>
      <c r="B2002" s="41"/>
      <c r="C2002" s="41" t="s">
        <v>634</v>
      </c>
      <c r="D2002" s="65">
        <v>13048</v>
      </c>
      <c r="E2002" s="42">
        <v>3.61</v>
      </c>
      <c r="F2002" s="43">
        <v>0.41598698000000001</v>
      </c>
      <c r="G2002" s="42">
        <v>0</v>
      </c>
      <c r="H2002" s="42">
        <v>0.76735023000000002</v>
      </c>
      <c r="I2002" s="42">
        <v>0.45889289999999999</v>
      </c>
      <c r="J2002" s="42">
        <v>1.8213917E-2</v>
      </c>
      <c r="K2002" s="42">
        <v>0.10587545</v>
      </c>
      <c r="L2002" s="44">
        <v>1.7663194769999999</v>
      </c>
    </row>
    <row r="2003" spans="1:12" hidden="1">
      <c r="A2003" s="41" t="s">
        <v>2824</v>
      </c>
      <c r="B2003" s="41"/>
      <c r="C2003" s="41" t="s">
        <v>657</v>
      </c>
      <c r="D2003" s="65">
        <v>1004</v>
      </c>
      <c r="E2003" s="42">
        <v>3.29</v>
      </c>
      <c r="F2003" s="43">
        <v>6.2203355000000002E-3</v>
      </c>
      <c r="G2003" s="42">
        <v>0.35111300000000001</v>
      </c>
      <c r="H2003" s="42">
        <v>0.47782284000000003</v>
      </c>
      <c r="I2003" s="42">
        <v>0.17638297999999999</v>
      </c>
      <c r="J2003" s="42">
        <v>1.5108570999999999E-2</v>
      </c>
      <c r="K2003" s="42">
        <v>6.6736979E-3</v>
      </c>
      <c r="L2003" s="44">
        <v>1.0333214244000002</v>
      </c>
    </row>
    <row r="2004" spans="1:12" hidden="1">
      <c r="A2004" s="41" t="s">
        <v>2825</v>
      </c>
      <c r="B2004" s="41"/>
      <c r="C2004" s="41" t="s">
        <v>631</v>
      </c>
      <c r="D2004" s="65">
        <v>8026</v>
      </c>
      <c r="E2004" s="42">
        <v>2.78</v>
      </c>
      <c r="F2004" s="43">
        <v>4.1692831000000004</v>
      </c>
      <c r="G2004" s="42">
        <v>0.53501821000000005</v>
      </c>
      <c r="H2004" s="42">
        <v>0.33008385000000001</v>
      </c>
      <c r="I2004" s="42">
        <v>0.12879805999999999</v>
      </c>
      <c r="J2004" s="42">
        <v>1.7263204000000001E-2</v>
      </c>
      <c r="K2004" s="42">
        <v>6.6736979E-3</v>
      </c>
      <c r="L2004" s="44">
        <v>5.1871201219000005</v>
      </c>
    </row>
    <row r="2005" spans="1:12" hidden="1">
      <c r="A2005" s="41" t="s">
        <v>2826</v>
      </c>
      <c r="B2005" s="41"/>
      <c r="C2005" s="41" t="s">
        <v>782</v>
      </c>
      <c r="D2005" s="65">
        <v>8083</v>
      </c>
      <c r="E2005" s="42">
        <v>3.17</v>
      </c>
      <c r="F2005" s="43">
        <v>5.7502300999999996</v>
      </c>
      <c r="G2005" s="42">
        <v>0.19526692000000001</v>
      </c>
      <c r="H2005" s="42">
        <v>0.1795842</v>
      </c>
      <c r="I2005" s="42">
        <v>0.70061428000000003</v>
      </c>
      <c r="J2005" s="42">
        <v>1.7262405000000001E-2</v>
      </c>
      <c r="K2005" s="42">
        <v>6.6736979E-3</v>
      </c>
      <c r="L2005" s="44">
        <v>6.8496316028999997</v>
      </c>
    </row>
    <row r="2006" spans="1:12" hidden="1">
      <c r="A2006" s="41" t="s">
        <v>2827</v>
      </c>
      <c r="B2006" s="41"/>
      <c r="C2006" s="41" t="s">
        <v>782</v>
      </c>
      <c r="D2006" s="65">
        <v>8080</v>
      </c>
      <c r="E2006" s="42">
        <v>3.57</v>
      </c>
      <c r="F2006" s="43">
        <v>2.0307808000000001</v>
      </c>
      <c r="G2006" s="42">
        <v>0.22423397</v>
      </c>
      <c r="H2006" s="42">
        <v>0.1795842</v>
      </c>
      <c r="I2006" s="42">
        <v>0.37305516999999999</v>
      </c>
      <c r="J2006" s="42">
        <v>1.7262405000000001E-2</v>
      </c>
      <c r="K2006" s="42">
        <v>6.6736979E-3</v>
      </c>
      <c r="L2006" s="44">
        <v>2.8315902428999995</v>
      </c>
    </row>
    <row r="2007" spans="1:12" hidden="1">
      <c r="A2007" s="41" t="s">
        <v>2828</v>
      </c>
      <c r="B2007" s="41"/>
      <c r="C2007" s="41" t="s">
        <v>631</v>
      </c>
      <c r="D2007" s="65">
        <v>8040</v>
      </c>
      <c r="E2007" s="42">
        <v>2.78</v>
      </c>
      <c r="F2007" s="43">
        <v>4.1692831000000004</v>
      </c>
      <c r="G2007" s="42">
        <v>0.53501821000000005</v>
      </c>
      <c r="H2007" s="42">
        <v>0.33008385000000001</v>
      </c>
      <c r="I2007" s="42">
        <v>0.12879805999999999</v>
      </c>
      <c r="J2007" s="42">
        <v>1.7263204000000001E-2</v>
      </c>
      <c r="K2007" s="42">
        <v>6.6736979E-3</v>
      </c>
      <c r="L2007" s="44">
        <v>5.1871201219000005</v>
      </c>
    </row>
    <row r="2008" spans="1:12" hidden="1">
      <c r="A2008" s="41" t="s">
        <v>2829</v>
      </c>
      <c r="B2008" s="41"/>
      <c r="C2008" s="41" t="s">
        <v>782</v>
      </c>
      <c r="D2008" s="65">
        <v>8081</v>
      </c>
      <c r="E2008" s="42">
        <v>3.17</v>
      </c>
      <c r="F2008" s="43">
        <v>5.7502300999999996</v>
      </c>
      <c r="G2008" s="42">
        <v>0.19526692000000001</v>
      </c>
      <c r="H2008" s="42">
        <v>0.1795842</v>
      </c>
      <c r="I2008" s="42">
        <v>0.70061428000000003</v>
      </c>
      <c r="J2008" s="42">
        <v>1.7262405000000001E-2</v>
      </c>
      <c r="K2008" s="42">
        <v>6.6736979E-3</v>
      </c>
      <c r="L2008" s="44">
        <v>6.8496316028999997</v>
      </c>
    </row>
    <row r="2009" spans="1:12" hidden="1">
      <c r="A2009" s="41" t="s">
        <v>2830</v>
      </c>
      <c r="B2009" s="41"/>
      <c r="C2009" s="41" t="s">
        <v>782</v>
      </c>
      <c r="D2009" s="65">
        <v>8082</v>
      </c>
      <c r="E2009" s="42">
        <v>3.1</v>
      </c>
      <c r="F2009" s="43">
        <v>2.0307808000000001</v>
      </c>
      <c r="G2009" s="42">
        <v>0.22423397</v>
      </c>
      <c r="H2009" s="42">
        <v>0.1795842</v>
      </c>
      <c r="I2009" s="42">
        <v>0.37305516999999999</v>
      </c>
      <c r="J2009" s="42">
        <v>1.7262405000000001E-2</v>
      </c>
      <c r="K2009" s="42">
        <v>6.6736979E-3</v>
      </c>
      <c r="L2009" s="44">
        <v>2.8315902428999995</v>
      </c>
    </row>
    <row r="2010" spans="1:12" hidden="1">
      <c r="A2010" s="41" t="s">
        <v>2831</v>
      </c>
      <c r="B2010" s="41"/>
      <c r="C2010" s="41" t="s">
        <v>631</v>
      </c>
      <c r="D2010" s="65">
        <v>8010</v>
      </c>
      <c r="E2010" s="42">
        <v>2.78</v>
      </c>
      <c r="F2010" s="43">
        <v>4.1692831000000004</v>
      </c>
      <c r="G2010" s="42">
        <v>0.53501821000000005</v>
      </c>
      <c r="H2010" s="42">
        <v>0.33008385000000001</v>
      </c>
      <c r="I2010" s="42">
        <v>0.12879805999999999</v>
      </c>
      <c r="J2010" s="42">
        <v>1.7263204000000001E-2</v>
      </c>
      <c r="K2010" s="42">
        <v>6.6736979E-3</v>
      </c>
      <c r="L2010" s="44">
        <v>5.1871201219000005</v>
      </c>
    </row>
    <row r="2011" spans="1:12" hidden="1">
      <c r="A2011" s="41" t="s">
        <v>2832</v>
      </c>
      <c r="B2011" s="41"/>
      <c r="C2011" s="41" t="s">
        <v>631</v>
      </c>
      <c r="D2011" s="65">
        <v>8030</v>
      </c>
      <c r="E2011" s="42">
        <v>2.78</v>
      </c>
      <c r="F2011" s="43">
        <v>4.1692831000000004</v>
      </c>
      <c r="G2011" s="42">
        <v>0.53501821000000005</v>
      </c>
      <c r="H2011" s="42">
        <v>0.33008385000000001</v>
      </c>
      <c r="I2011" s="42">
        <v>0.12879805999999999</v>
      </c>
      <c r="J2011" s="42">
        <v>1.7263204000000001E-2</v>
      </c>
      <c r="K2011" s="42">
        <v>6.6736979E-3</v>
      </c>
      <c r="L2011" s="44">
        <v>5.1871201219000005</v>
      </c>
    </row>
    <row r="2012" spans="1:12" hidden="1">
      <c r="A2012" s="41" t="s">
        <v>2833</v>
      </c>
      <c r="B2012" s="41"/>
      <c r="C2012" s="41" t="s">
        <v>631</v>
      </c>
      <c r="D2012" s="65">
        <v>8015</v>
      </c>
      <c r="E2012" s="42">
        <v>2.78</v>
      </c>
      <c r="F2012" s="43">
        <v>4.1692831000000004</v>
      </c>
      <c r="G2012" s="42">
        <v>0.53501821000000005</v>
      </c>
      <c r="H2012" s="42">
        <v>0.33008385000000001</v>
      </c>
      <c r="I2012" s="42">
        <v>0.12879805999999999</v>
      </c>
      <c r="J2012" s="42">
        <v>1.7263204000000001E-2</v>
      </c>
      <c r="K2012" s="42">
        <v>6.6736979E-3</v>
      </c>
      <c r="L2012" s="44">
        <v>5.1871201219000005</v>
      </c>
    </row>
    <row r="2013" spans="1:12" hidden="1">
      <c r="A2013" s="41" t="s">
        <v>2834</v>
      </c>
      <c r="B2013" s="41"/>
      <c r="C2013" s="41" t="s">
        <v>631</v>
      </c>
      <c r="D2013" s="65">
        <v>8025</v>
      </c>
      <c r="E2013" s="42">
        <v>2.78</v>
      </c>
      <c r="F2013" s="43">
        <v>4.1692831000000004</v>
      </c>
      <c r="G2013" s="42">
        <v>0.53501821000000005</v>
      </c>
      <c r="H2013" s="42">
        <v>0.33008385000000001</v>
      </c>
      <c r="I2013" s="42">
        <v>0.12879805999999999</v>
      </c>
      <c r="J2013" s="42">
        <v>1.7263204000000001E-2</v>
      </c>
      <c r="K2013" s="42">
        <v>6.6736979E-3</v>
      </c>
      <c r="L2013" s="44">
        <v>5.1871201219000005</v>
      </c>
    </row>
    <row r="2014" spans="1:12" hidden="1">
      <c r="A2014" s="41" t="s">
        <v>2835</v>
      </c>
      <c r="B2014" s="41"/>
      <c r="C2014" s="41" t="s">
        <v>631</v>
      </c>
      <c r="D2014" s="65">
        <v>8001</v>
      </c>
      <c r="E2014" s="42">
        <v>2.78</v>
      </c>
      <c r="F2014" s="43">
        <v>4.1692831000000004</v>
      </c>
      <c r="G2014" s="42">
        <v>0.53501821000000005</v>
      </c>
      <c r="H2014" s="42">
        <v>0.33008385000000001</v>
      </c>
      <c r="I2014" s="42">
        <v>0.12879805999999999</v>
      </c>
      <c r="J2014" s="42">
        <v>1.7263204000000001E-2</v>
      </c>
      <c r="K2014" s="42">
        <v>6.6736979E-3</v>
      </c>
      <c r="L2014" s="44">
        <v>5.1871201219000005</v>
      </c>
    </row>
    <row r="2015" spans="1:12" hidden="1">
      <c r="A2015" s="41" t="s">
        <v>2836</v>
      </c>
      <c r="B2015" s="41"/>
      <c r="C2015" s="41" t="s">
        <v>631</v>
      </c>
      <c r="D2015" s="65">
        <v>8000</v>
      </c>
      <c r="E2015" s="42">
        <v>2.78</v>
      </c>
      <c r="F2015" s="43">
        <v>4.1692831000000004</v>
      </c>
      <c r="G2015" s="42">
        <v>0.53501821000000005</v>
      </c>
      <c r="H2015" s="42">
        <v>0.33008385000000001</v>
      </c>
      <c r="I2015" s="42">
        <v>0.12879805999999999</v>
      </c>
      <c r="J2015" s="42">
        <v>1.7263204000000001E-2</v>
      </c>
      <c r="K2015" s="42">
        <v>6.6736979E-3</v>
      </c>
      <c r="L2015" s="44">
        <v>5.1871201219000005</v>
      </c>
    </row>
    <row r="2016" spans="1:12" hidden="1">
      <c r="A2016" s="41" t="s">
        <v>2837</v>
      </c>
      <c r="B2016" s="41"/>
      <c r="C2016" s="41" t="s">
        <v>788</v>
      </c>
      <c r="D2016" s="65">
        <v>40302</v>
      </c>
      <c r="E2016" s="42">
        <v>2.63</v>
      </c>
      <c r="F2016" s="43">
        <v>25.635563000000001</v>
      </c>
      <c r="G2016" s="42">
        <v>4.3149809999999997E-2</v>
      </c>
      <c r="H2016" s="42">
        <v>0.34413596000000002</v>
      </c>
      <c r="I2016" s="42">
        <v>0.24726859000000001</v>
      </c>
      <c r="J2016" s="42">
        <v>4.6692341999999998E-2</v>
      </c>
      <c r="K2016" s="42">
        <v>8.8693171000000001E-2</v>
      </c>
      <c r="L2016" s="44">
        <v>26.405502873</v>
      </c>
    </row>
    <row r="2017" spans="1:12" hidden="1">
      <c r="A2017" s="41" t="s">
        <v>2838</v>
      </c>
      <c r="B2017" s="41"/>
      <c r="C2017" s="41" t="s">
        <v>786</v>
      </c>
      <c r="D2017" s="65">
        <v>40303</v>
      </c>
      <c r="E2017" s="42">
        <v>2.65</v>
      </c>
      <c r="F2017" s="43">
        <v>35.138866</v>
      </c>
      <c r="G2017" s="42">
        <v>5.9145780000000002E-2</v>
      </c>
      <c r="H2017" s="42">
        <v>0.47170984999999999</v>
      </c>
      <c r="I2017" s="42">
        <v>0.33893298999999999</v>
      </c>
      <c r="J2017" s="42">
        <v>6.4001556000000001E-2</v>
      </c>
      <c r="K2017" s="42">
        <v>0.20746300000000001</v>
      </c>
      <c r="L2017" s="44">
        <v>36.280119175999999</v>
      </c>
    </row>
    <row r="2018" spans="1:12" hidden="1">
      <c r="A2018" s="41" t="s">
        <v>2839</v>
      </c>
      <c r="B2018" s="41"/>
      <c r="C2018" s="41" t="s">
        <v>786</v>
      </c>
      <c r="D2018" s="65">
        <v>40305</v>
      </c>
      <c r="E2018" s="42">
        <v>2.65</v>
      </c>
      <c r="F2018" s="43">
        <v>29.434339000000001</v>
      </c>
      <c r="G2018" s="42">
        <v>9.9364964E-2</v>
      </c>
      <c r="H2018" s="42">
        <v>0.47160385999999999</v>
      </c>
      <c r="I2018" s="42">
        <v>0.34583518000000002</v>
      </c>
      <c r="J2018" s="42">
        <v>6.4001556000000001E-2</v>
      </c>
      <c r="K2018" s="42">
        <v>0.24208357</v>
      </c>
      <c r="L2018" s="44">
        <v>30.65722813</v>
      </c>
    </row>
    <row r="2019" spans="1:12" hidden="1">
      <c r="A2019" s="41" t="s">
        <v>2840</v>
      </c>
      <c r="B2019" s="41"/>
      <c r="C2019" s="41" t="s">
        <v>788</v>
      </c>
      <c r="D2019" s="65">
        <v>40304</v>
      </c>
      <c r="E2019" s="42">
        <v>2.63</v>
      </c>
      <c r="F2019" s="43">
        <v>21.464196000000001</v>
      </c>
      <c r="G2019" s="42">
        <v>7.1459623E-2</v>
      </c>
      <c r="H2019" s="42">
        <v>0.34413596000000002</v>
      </c>
      <c r="I2019" s="42">
        <v>0.25169881999999999</v>
      </c>
      <c r="J2019" s="42">
        <v>4.6692341999999998E-2</v>
      </c>
      <c r="K2019" s="42">
        <v>8.8693171000000001E-2</v>
      </c>
      <c r="L2019" s="44">
        <v>22.266875916</v>
      </c>
    </row>
    <row r="2020" spans="1:12" hidden="1">
      <c r="A2020" s="41" t="s">
        <v>2841</v>
      </c>
      <c r="B2020" s="41"/>
      <c r="C2020" s="41" t="s">
        <v>811</v>
      </c>
      <c r="D2020" s="65">
        <v>25189</v>
      </c>
      <c r="E2020" s="42">
        <v>2.38</v>
      </c>
      <c r="F2020" s="43">
        <v>1.0400521</v>
      </c>
      <c r="G2020" s="42">
        <v>0.57224162000000001</v>
      </c>
      <c r="H2020" s="42">
        <v>0.18549789</v>
      </c>
      <c r="I2020" s="42">
        <v>0.52711266000000001</v>
      </c>
      <c r="J2020" s="42">
        <v>3.7768032999999999E-2</v>
      </c>
      <c r="K2020" s="42">
        <v>1.7696322E-2</v>
      </c>
      <c r="L2020" s="44">
        <v>2.380368625</v>
      </c>
    </row>
    <row r="2021" spans="1:12" hidden="1">
      <c r="A2021" s="41" t="s">
        <v>2842</v>
      </c>
      <c r="B2021" s="41"/>
      <c r="C2021" s="41" t="s">
        <v>811</v>
      </c>
      <c r="D2021" s="65">
        <v>25188</v>
      </c>
      <c r="E2021" s="42">
        <v>2.38</v>
      </c>
      <c r="F2021" s="43">
        <v>1.0400521</v>
      </c>
      <c r="G2021" s="42">
        <v>0.57224162000000001</v>
      </c>
      <c r="H2021" s="42">
        <v>0.18549789</v>
      </c>
      <c r="I2021" s="42">
        <v>0.52711266000000001</v>
      </c>
      <c r="J2021" s="42">
        <v>3.7768032999999999E-2</v>
      </c>
      <c r="K2021" s="42">
        <v>1.7696322E-2</v>
      </c>
      <c r="L2021" s="44">
        <v>2.380368625</v>
      </c>
    </row>
    <row r="2022" spans="1:12" hidden="1">
      <c r="A2022" s="41" t="s">
        <v>2843</v>
      </c>
      <c r="B2022" s="41"/>
      <c r="C2022" s="41" t="s">
        <v>811</v>
      </c>
      <c r="D2022" s="65">
        <v>25187</v>
      </c>
      <c r="E2022" s="42">
        <v>2.38</v>
      </c>
      <c r="F2022" s="43">
        <v>1.0400521</v>
      </c>
      <c r="G2022" s="42">
        <v>0.57224162000000001</v>
      </c>
      <c r="H2022" s="42">
        <v>0.18549789</v>
      </c>
      <c r="I2022" s="42">
        <v>0.52711266000000001</v>
      </c>
      <c r="J2022" s="42">
        <v>3.7768032999999999E-2</v>
      </c>
      <c r="K2022" s="42">
        <v>1.7696322E-2</v>
      </c>
      <c r="L2022" s="44">
        <v>2.380368625</v>
      </c>
    </row>
    <row r="2023" spans="1:12" hidden="1">
      <c r="A2023" s="41" t="s">
        <v>2844</v>
      </c>
      <c r="B2023" s="41"/>
      <c r="C2023" s="41" t="s">
        <v>811</v>
      </c>
      <c r="D2023" s="65">
        <v>25196</v>
      </c>
      <c r="E2023" s="42">
        <v>2.91</v>
      </c>
      <c r="F2023" s="43">
        <v>0.31117987000000003</v>
      </c>
      <c r="G2023" s="42">
        <v>0.17111103</v>
      </c>
      <c r="H2023" s="42">
        <v>0.18549789</v>
      </c>
      <c r="I2023" s="42">
        <v>0.25637861000000001</v>
      </c>
      <c r="J2023" s="42">
        <v>3.7768032999999999E-2</v>
      </c>
      <c r="K2023" s="42">
        <v>1.7696322E-2</v>
      </c>
      <c r="L2023" s="44">
        <v>0.97963175499999999</v>
      </c>
    </row>
    <row r="2024" spans="1:12" hidden="1">
      <c r="A2024" s="41" t="s">
        <v>2845</v>
      </c>
      <c r="B2024" s="41"/>
      <c r="C2024" s="41" t="s">
        <v>1085</v>
      </c>
      <c r="D2024" s="65">
        <v>39212</v>
      </c>
      <c r="E2024" s="42">
        <v>2.9</v>
      </c>
      <c r="F2024" s="43">
        <v>1.0576144999999999</v>
      </c>
      <c r="G2024" s="42">
        <v>0.17074990000000001</v>
      </c>
      <c r="H2024" s="42">
        <v>0.18549789</v>
      </c>
      <c r="I2024" s="42">
        <v>0.22984569999999999</v>
      </c>
      <c r="J2024" s="42">
        <v>3.7768032999999999E-2</v>
      </c>
      <c r="K2024" s="42">
        <v>6.6736979E-3</v>
      </c>
      <c r="L2024" s="44">
        <v>1.6881497208999998</v>
      </c>
    </row>
    <row r="2025" spans="1:12" hidden="1">
      <c r="A2025" s="41" t="s">
        <v>2846</v>
      </c>
      <c r="B2025" s="41"/>
      <c r="C2025" s="41" t="s">
        <v>816</v>
      </c>
      <c r="D2025" s="65">
        <v>9101</v>
      </c>
      <c r="E2025" s="42">
        <v>3.61</v>
      </c>
      <c r="F2025" s="43">
        <v>2.1560980999999999</v>
      </c>
      <c r="G2025" s="42">
        <v>0</v>
      </c>
      <c r="H2025" s="42">
        <v>0.26506589000000003</v>
      </c>
      <c r="I2025" s="42">
        <v>0.31435761000000001</v>
      </c>
      <c r="J2025" s="42">
        <v>1.8776521000000001E-2</v>
      </c>
      <c r="K2025" s="42">
        <v>0</v>
      </c>
      <c r="L2025" s="44">
        <v>2.7542981210000002</v>
      </c>
    </row>
    <row r="2026" spans="1:12" hidden="1">
      <c r="A2026" s="41" t="s">
        <v>2847</v>
      </c>
      <c r="B2026" s="41"/>
      <c r="C2026" s="41" t="s">
        <v>816</v>
      </c>
      <c r="D2026" s="65">
        <v>9105</v>
      </c>
      <c r="E2026" s="42">
        <v>3.61</v>
      </c>
      <c r="F2026" s="43">
        <v>0.95436151999999996</v>
      </c>
      <c r="G2026" s="42">
        <v>0</v>
      </c>
      <c r="H2026" s="42">
        <v>8.0555266E-2</v>
      </c>
      <c r="I2026" s="42">
        <v>0.13914525</v>
      </c>
      <c r="J2026" s="42">
        <v>8.3111195999999998E-3</v>
      </c>
      <c r="K2026" s="42">
        <v>0.13779105</v>
      </c>
      <c r="L2026" s="44">
        <v>1.3201642056</v>
      </c>
    </row>
    <row r="2027" spans="1:12" hidden="1">
      <c r="A2027" s="41" t="s">
        <v>2848</v>
      </c>
      <c r="B2027" s="41"/>
      <c r="C2027" s="41" t="s">
        <v>816</v>
      </c>
      <c r="D2027" s="65">
        <v>9100</v>
      </c>
      <c r="E2027" s="42">
        <v>3.3</v>
      </c>
      <c r="F2027" s="43">
        <v>2.1560980999999999</v>
      </c>
      <c r="G2027" s="42">
        <v>0</v>
      </c>
      <c r="H2027" s="42">
        <v>0.26506589000000003</v>
      </c>
      <c r="I2027" s="42">
        <v>0.31435761000000001</v>
      </c>
      <c r="J2027" s="42">
        <v>1.8776521000000001E-2</v>
      </c>
      <c r="K2027" s="42">
        <v>0</v>
      </c>
      <c r="L2027" s="44">
        <v>2.7542981210000002</v>
      </c>
    </row>
    <row r="2028" spans="1:12" hidden="1">
      <c r="A2028" s="41" t="s">
        <v>2849</v>
      </c>
      <c r="B2028" s="41"/>
      <c r="C2028" s="41" t="s">
        <v>811</v>
      </c>
      <c r="D2028" s="65">
        <v>25185</v>
      </c>
      <c r="E2028" s="42">
        <v>2.38</v>
      </c>
      <c r="F2028" s="43">
        <v>1.6568993000000001</v>
      </c>
      <c r="G2028" s="42">
        <v>0.28432826999999999</v>
      </c>
      <c r="H2028" s="42">
        <v>0.2411267</v>
      </c>
      <c r="I2028" s="42">
        <v>0.23181123000000001</v>
      </c>
      <c r="J2028" s="42">
        <v>3.7768032999999999E-2</v>
      </c>
      <c r="K2028" s="42">
        <v>1.7696322E-2</v>
      </c>
      <c r="L2028" s="44">
        <v>2.469629855</v>
      </c>
    </row>
    <row r="2029" spans="1:12" hidden="1">
      <c r="A2029" s="41" t="s">
        <v>2850</v>
      </c>
      <c r="B2029" s="41"/>
      <c r="C2029" s="41" t="s">
        <v>811</v>
      </c>
      <c r="D2029" s="65">
        <v>25184</v>
      </c>
      <c r="E2029" s="42">
        <v>2.46</v>
      </c>
      <c r="F2029" s="43">
        <v>2.0318526000000001</v>
      </c>
      <c r="G2029" s="42">
        <v>0.31546869999999999</v>
      </c>
      <c r="H2029" s="42">
        <v>0.25535732999999999</v>
      </c>
      <c r="I2029" s="42">
        <v>0.23251446000000001</v>
      </c>
      <c r="J2029" s="42">
        <v>3.7768032999999999E-2</v>
      </c>
      <c r="K2029" s="42">
        <v>1.7696322E-2</v>
      </c>
      <c r="L2029" s="44">
        <v>2.8906574449999995</v>
      </c>
    </row>
    <row r="2030" spans="1:12" hidden="1">
      <c r="A2030" s="41" t="s">
        <v>2851</v>
      </c>
      <c r="B2030" s="41"/>
      <c r="C2030" s="41" t="s">
        <v>816</v>
      </c>
      <c r="D2030" s="65">
        <v>9104</v>
      </c>
      <c r="E2030" s="42">
        <v>3.3</v>
      </c>
      <c r="F2030" s="43">
        <v>0.95436151999999996</v>
      </c>
      <c r="G2030" s="42">
        <v>0</v>
      </c>
      <c r="H2030" s="42">
        <v>8.0555266E-2</v>
      </c>
      <c r="I2030" s="42">
        <v>0.13914525</v>
      </c>
      <c r="J2030" s="42">
        <v>8.3111195999999998E-3</v>
      </c>
      <c r="K2030" s="42">
        <v>0.13779105</v>
      </c>
      <c r="L2030" s="44">
        <v>1.3201642056</v>
      </c>
    </row>
    <row r="2031" spans="1:12" hidden="1">
      <c r="A2031" s="37" t="s">
        <v>2852</v>
      </c>
      <c r="B2031" s="37"/>
      <c r="C2031" s="37" t="s">
        <v>811</v>
      </c>
      <c r="D2031" s="64">
        <v>25088</v>
      </c>
      <c r="E2031" s="38">
        <v>2.4900000000000002</v>
      </c>
      <c r="F2031" s="39">
        <v>1.6471791</v>
      </c>
      <c r="G2031" s="38">
        <v>0.27142446999999997</v>
      </c>
      <c r="H2031" s="38">
        <v>0.24614440000000001</v>
      </c>
      <c r="I2031" s="38">
        <v>0.26334152</v>
      </c>
      <c r="J2031" s="38">
        <v>3.7768032999999999E-2</v>
      </c>
      <c r="K2031" s="38">
        <v>1.7696322E-2</v>
      </c>
      <c r="L2031" s="40">
        <v>2.4835538449999999</v>
      </c>
    </row>
    <row r="2032" spans="1:12" hidden="1">
      <c r="A2032" s="41" t="s">
        <v>2853</v>
      </c>
      <c r="B2032" s="41"/>
      <c r="C2032" s="41" t="s">
        <v>816</v>
      </c>
      <c r="D2032" s="65">
        <v>9102</v>
      </c>
      <c r="E2032" s="42">
        <v>3.3</v>
      </c>
      <c r="F2032" s="43">
        <v>2.1560980999999999</v>
      </c>
      <c r="G2032" s="42">
        <v>0</v>
      </c>
      <c r="H2032" s="42">
        <v>0.26506589000000003</v>
      </c>
      <c r="I2032" s="42">
        <v>0.31435761000000001</v>
      </c>
      <c r="J2032" s="42">
        <v>1.8776521000000001E-2</v>
      </c>
      <c r="K2032" s="42">
        <v>0</v>
      </c>
      <c r="L2032" s="44">
        <v>2.7542981210000002</v>
      </c>
    </row>
    <row r="2033" spans="1:12" hidden="1">
      <c r="A2033" s="41" t="s">
        <v>2854</v>
      </c>
      <c r="B2033" s="41"/>
      <c r="C2033" s="41" t="s">
        <v>816</v>
      </c>
      <c r="D2033" s="65">
        <v>9103</v>
      </c>
      <c r="E2033" s="42">
        <v>3.3</v>
      </c>
      <c r="F2033" s="43">
        <v>0.95436151999999996</v>
      </c>
      <c r="G2033" s="42">
        <v>0</v>
      </c>
      <c r="H2033" s="42">
        <v>8.0555266E-2</v>
      </c>
      <c r="I2033" s="42">
        <v>0.13914525</v>
      </c>
      <c r="J2033" s="42">
        <v>8.3111195999999998E-3</v>
      </c>
      <c r="K2033" s="42">
        <v>0.13779105</v>
      </c>
      <c r="L2033" s="44">
        <v>1.3201642056</v>
      </c>
    </row>
    <row r="2034" spans="1:12" hidden="1">
      <c r="A2034" s="41" t="s">
        <v>2855</v>
      </c>
      <c r="B2034" s="41"/>
      <c r="C2034" s="41" t="s">
        <v>816</v>
      </c>
      <c r="D2034" s="65">
        <v>9109</v>
      </c>
      <c r="E2034" s="42">
        <v>3.3</v>
      </c>
      <c r="F2034" s="43">
        <v>2.1560980999999999</v>
      </c>
      <c r="G2034" s="42">
        <v>0</v>
      </c>
      <c r="H2034" s="42">
        <v>0.26506589000000003</v>
      </c>
      <c r="I2034" s="42">
        <v>0.31435761000000001</v>
      </c>
      <c r="J2034" s="42">
        <v>1.8776521000000001E-2</v>
      </c>
      <c r="K2034" s="42">
        <v>0</v>
      </c>
      <c r="L2034" s="44">
        <v>2.7542981210000002</v>
      </c>
    </row>
    <row r="2035" spans="1:12" hidden="1">
      <c r="A2035" s="41" t="s">
        <v>2856</v>
      </c>
      <c r="B2035" s="41"/>
      <c r="C2035" s="41" t="s">
        <v>816</v>
      </c>
      <c r="D2035" s="65">
        <v>9110</v>
      </c>
      <c r="E2035" s="42">
        <v>3.3</v>
      </c>
      <c r="F2035" s="43">
        <v>0.95436151999999996</v>
      </c>
      <c r="G2035" s="42">
        <v>0</v>
      </c>
      <c r="H2035" s="42">
        <v>8.0555266E-2</v>
      </c>
      <c r="I2035" s="42">
        <v>0.13914525</v>
      </c>
      <c r="J2035" s="42">
        <v>8.3111195999999998E-3</v>
      </c>
      <c r="K2035" s="42">
        <v>0.13779105</v>
      </c>
      <c r="L2035" s="44">
        <v>1.3201642056</v>
      </c>
    </row>
    <row r="2036" spans="1:12" hidden="1">
      <c r="A2036" s="41" t="s">
        <v>2857</v>
      </c>
      <c r="B2036" s="41"/>
      <c r="C2036" s="41" t="s">
        <v>816</v>
      </c>
      <c r="D2036" s="65">
        <v>9108</v>
      </c>
      <c r="E2036" s="42">
        <v>3.3</v>
      </c>
      <c r="F2036" s="43">
        <v>2.1560980999999999</v>
      </c>
      <c r="G2036" s="42">
        <v>0</v>
      </c>
      <c r="H2036" s="42">
        <v>0.26506589000000003</v>
      </c>
      <c r="I2036" s="42">
        <v>0.31435761000000001</v>
      </c>
      <c r="J2036" s="42">
        <v>1.8776521000000001E-2</v>
      </c>
      <c r="K2036" s="42">
        <v>0</v>
      </c>
      <c r="L2036" s="44">
        <v>2.7542981210000002</v>
      </c>
    </row>
    <row r="2037" spans="1:12" hidden="1">
      <c r="A2037" s="41" t="s">
        <v>2858</v>
      </c>
      <c r="B2037" s="41"/>
      <c r="C2037" s="41" t="s">
        <v>816</v>
      </c>
      <c r="D2037" s="65">
        <v>9111</v>
      </c>
      <c r="E2037" s="42">
        <v>3.3</v>
      </c>
      <c r="F2037" s="43">
        <v>0.95436151999999996</v>
      </c>
      <c r="G2037" s="42">
        <v>0</v>
      </c>
      <c r="H2037" s="42">
        <v>8.0555266E-2</v>
      </c>
      <c r="I2037" s="42">
        <v>0.13914525</v>
      </c>
      <c r="J2037" s="42">
        <v>8.3111195999999998E-3</v>
      </c>
      <c r="K2037" s="42">
        <v>0.13779105</v>
      </c>
      <c r="L2037" s="44">
        <v>1.3201642056</v>
      </c>
    </row>
    <row r="2038" spans="1:12" hidden="1">
      <c r="A2038" s="37" t="s">
        <v>2859</v>
      </c>
      <c r="B2038" s="37"/>
      <c r="C2038" s="37" t="s">
        <v>816</v>
      </c>
      <c r="D2038" s="64">
        <v>9119</v>
      </c>
      <c r="E2038" s="38">
        <v>3.3</v>
      </c>
      <c r="F2038" s="39">
        <v>3.5709428000000001</v>
      </c>
      <c r="G2038" s="38">
        <v>0</v>
      </c>
      <c r="H2038" s="38">
        <v>0.26506589000000003</v>
      </c>
      <c r="I2038" s="38">
        <v>0.24531916000000001</v>
      </c>
      <c r="J2038" s="38">
        <v>1.8776521000000001E-2</v>
      </c>
      <c r="K2038" s="38">
        <v>0</v>
      </c>
      <c r="L2038" s="40">
        <v>4.1001043710000005</v>
      </c>
    </row>
    <row r="2039" spans="1:12" hidden="1">
      <c r="A2039" s="41" t="s">
        <v>2860</v>
      </c>
      <c r="B2039" s="41"/>
      <c r="C2039" s="41" t="s">
        <v>816</v>
      </c>
      <c r="D2039" s="65">
        <v>9121</v>
      </c>
      <c r="E2039" s="42">
        <v>3.3</v>
      </c>
      <c r="F2039" s="43">
        <v>2.1560980999999999</v>
      </c>
      <c r="G2039" s="42">
        <v>0</v>
      </c>
      <c r="H2039" s="42">
        <v>0.26506589000000003</v>
      </c>
      <c r="I2039" s="42">
        <v>0.31435761000000001</v>
      </c>
      <c r="J2039" s="42">
        <v>1.8776521000000001E-2</v>
      </c>
      <c r="K2039" s="42">
        <v>0</v>
      </c>
      <c r="L2039" s="44">
        <v>2.7542981210000002</v>
      </c>
    </row>
    <row r="2040" spans="1:12" hidden="1">
      <c r="A2040" s="41" t="s">
        <v>2861</v>
      </c>
      <c r="B2040" s="41"/>
      <c r="C2040" s="41" t="s">
        <v>640</v>
      </c>
      <c r="D2040" s="65">
        <v>12847</v>
      </c>
      <c r="E2040" s="42">
        <v>2.4500000000000002</v>
      </c>
      <c r="F2040" s="43">
        <v>5.2040924999999998</v>
      </c>
      <c r="G2040" s="42">
        <v>0.29382051999999997</v>
      </c>
      <c r="H2040" s="42">
        <v>0.26233268999999998</v>
      </c>
      <c r="I2040" s="42">
        <v>0.21100323000000001</v>
      </c>
      <c r="J2040" s="42">
        <v>3.5969872999999999E-2</v>
      </c>
      <c r="K2040" s="42">
        <v>6.6736979E-3</v>
      </c>
      <c r="L2040" s="44">
        <v>6.0138925108999999</v>
      </c>
    </row>
    <row r="2041" spans="1:12" hidden="1">
      <c r="A2041" s="37" t="s">
        <v>2862</v>
      </c>
      <c r="B2041" s="37"/>
      <c r="C2041" s="37" t="s">
        <v>877</v>
      </c>
      <c r="D2041" s="64">
        <v>31066</v>
      </c>
      <c r="E2041" s="38">
        <v>2.85</v>
      </c>
      <c r="F2041" s="39">
        <v>8.5822707000000005</v>
      </c>
      <c r="G2041" s="38">
        <v>0.57571437000000003</v>
      </c>
      <c r="H2041" s="38">
        <v>0.10402936</v>
      </c>
      <c r="I2041" s="38">
        <v>0.31376546999999999</v>
      </c>
      <c r="J2041" s="38">
        <v>1.7263204000000001E-2</v>
      </c>
      <c r="K2041" s="38">
        <v>0</v>
      </c>
      <c r="L2041" s="40">
        <v>9.5930431040000013</v>
      </c>
    </row>
    <row r="2042" spans="1:12" hidden="1">
      <c r="A2042" s="41" t="s">
        <v>2863</v>
      </c>
      <c r="B2042" s="41"/>
      <c r="C2042" s="41" t="s">
        <v>668</v>
      </c>
      <c r="D2042" s="65">
        <v>23033</v>
      </c>
      <c r="E2042" s="42">
        <v>2.71</v>
      </c>
      <c r="F2042" s="43">
        <v>1.0254178</v>
      </c>
      <c r="G2042" s="42">
        <v>0.22069262000000001</v>
      </c>
      <c r="H2042" s="42">
        <v>0.28777464000000003</v>
      </c>
      <c r="I2042" s="42">
        <v>0.18798137000000001</v>
      </c>
      <c r="J2042" s="42">
        <v>1.9437894000000001E-2</v>
      </c>
      <c r="K2042" s="42">
        <v>0</v>
      </c>
      <c r="L2042" s="44">
        <v>1.7413043239999999</v>
      </c>
    </row>
    <row r="2043" spans="1:12" hidden="1">
      <c r="A2043" s="37" t="s">
        <v>2864</v>
      </c>
      <c r="B2043" s="37"/>
      <c r="C2043" s="37" t="s">
        <v>786</v>
      </c>
      <c r="D2043" s="64">
        <v>40406</v>
      </c>
      <c r="E2043" s="38">
        <v>2.65</v>
      </c>
      <c r="F2043" s="39">
        <v>28.111091999999999</v>
      </c>
      <c r="G2043" s="38">
        <v>4.7316624000000002E-2</v>
      </c>
      <c r="H2043" s="38">
        <v>0.37736787999999999</v>
      </c>
      <c r="I2043" s="38">
        <v>0.27114639000000001</v>
      </c>
      <c r="J2043" s="38">
        <v>5.1201244999999999E-2</v>
      </c>
      <c r="K2043" s="38">
        <v>9.5038267999999995E-2</v>
      </c>
      <c r="L2043" s="40">
        <v>28.953162407000001</v>
      </c>
    </row>
    <row r="2044" spans="1:12" hidden="1">
      <c r="A2044" s="37" t="s">
        <v>2865</v>
      </c>
      <c r="B2044" s="37"/>
      <c r="C2044" s="37" t="s">
        <v>788</v>
      </c>
      <c r="D2044" s="64">
        <v>40407</v>
      </c>
      <c r="E2044" s="38">
        <v>2.63</v>
      </c>
      <c r="F2044" s="39">
        <v>20.50845</v>
      </c>
      <c r="G2044" s="38">
        <v>3.4519847999999999E-2</v>
      </c>
      <c r="H2044" s="38">
        <v>0.27530876999999998</v>
      </c>
      <c r="I2044" s="38">
        <v>0.19781488</v>
      </c>
      <c r="J2044" s="38">
        <v>3.7353873000000003E-2</v>
      </c>
      <c r="K2044" s="38">
        <v>6.6736979E-3</v>
      </c>
      <c r="L2044" s="40">
        <v>21.060121068899996</v>
      </c>
    </row>
    <row r="2045" spans="1:12" hidden="1">
      <c r="A2045" s="37" t="s">
        <v>2866</v>
      </c>
      <c r="B2045" s="37"/>
      <c r="C2045" s="37" t="s">
        <v>788</v>
      </c>
      <c r="D2045" s="64">
        <v>40402</v>
      </c>
      <c r="E2045" s="38">
        <v>2.21</v>
      </c>
      <c r="F2045" s="39">
        <v>20.927841000000001</v>
      </c>
      <c r="G2045" s="38">
        <v>5.2136218999999998E-2</v>
      </c>
      <c r="H2045" s="38">
        <v>0.27530876999999998</v>
      </c>
      <c r="I2045" s="38">
        <v>0.20001251</v>
      </c>
      <c r="J2045" s="38">
        <v>3.7353873000000003E-2</v>
      </c>
      <c r="K2045" s="38">
        <v>6.6736979E-3</v>
      </c>
      <c r="L2045" s="40">
        <v>21.4993260699</v>
      </c>
    </row>
    <row r="2046" spans="1:12" hidden="1">
      <c r="A2046" s="37" t="s">
        <v>2867</v>
      </c>
      <c r="B2046" s="37"/>
      <c r="C2046" s="37" t="s">
        <v>786</v>
      </c>
      <c r="D2046" s="64">
        <v>40403</v>
      </c>
      <c r="E2046" s="38">
        <v>2.2400000000000002</v>
      </c>
      <c r="F2046" s="39">
        <v>28.685955</v>
      </c>
      <c r="G2046" s="38">
        <v>7.1463521000000002E-2</v>
      </c>
      <c r="H2046" s="38">
        <v>0.37736787999999999</v>
      </c>
      <c r="I2046" s="38">
        <v>0.27415869999999998</v>
      </c>
      <c r="J2046" s="38">
        <v>5.1201244999999999E-2</v>
      </c>
      <c r="K2046" s="38">
        <v>9.5038267999999995E-2</v>
      </c>
      <c r="L2046" s="40">
        <v>29.555184614000002</v>
      </c>
    </row>
    <row r="2047" spans="1:12" hidden="1">
      <c r="A2047" s="37" t="s">
        <v>2868</v>
      </c>
      <c r="B2047" s="37"/>
      <c r="C2047" s="37" t="s">
        <v>788</v>
      </c>
      <c r="D2047" s="64">
        <v>40404</v>
      </c>
      <c r="E2047" s="38">
        <v>2.4700000000000002</v>
      </c>
      <c r="F2047" s="39">
        <v>1.4372448</v>
      </c>
      <c r="G2047" s="38">
        <v>0.10353969</v>
      </c>
      <c r="H2047" s="38">
        <v>0.27530876999999998</v>
      </c>
      <c r="I2047" s="38">
        <v>0.19284406000000001</v>
      </c>
      <c r="J2047" s="38">
        <v>3.7353873000000003E-2</v>
      </c>
      <c r="K2047" s="38">
        <v>6.6736979E-3</v>
      </c>
      <c r="L2047" s="40">
        <v>2.0529648909000002</v>
      </c>
    </row>
    <row r="2048" spans="1:12" hidden="1">
      <c r="A2048" s="37" t="s">
        <v>2869</v>
      </c>
      <c r="B2048" s="37"/>
      <c r="C2048" s="37" t="s">
        <v>786</v>
      </c>
      <c r="D2048" s="64">
        <v>40405</v>
      </c>
      <c r="E2048" s="38">
        <v>2.4900000000000002</v>
      </c>
      <c r="F2048" s="39">
        <v>1.9700426</v>
      </c>
      <c r="G2048" s="38">
        <v>0.14192266000000001</v>
      </c>
      <c r="H2048" s="38">
        <v>0.37736787999999999</v>
      </c>
      <c r="I2048" s="38">
        <v>0.26433285000000001</v>
      </c>
      <c r="J2048" s="38">
        <v>5.1201244999999999E-2</v>
      </c>
      <c r="K2048" s="38">
        <v>9.5038267999999995E-2</v>
      </c>
      <c r="L2048" s="40">
        <v>2.8999055030000003</v>
      </c>
    </row>
    <row r="2049" spans="1:12" hidden="1">
      <c r="A2049" s="37" t="s">
        <v>2870</v>
      </c>
      <c r="B2049" s="37"/>
      <c r="C2049" s="37" t="s">
        <v>786</v>
      </c>
      <c r="D2049" s="64">
        <v>40408</v>
      </c>
      <c r="E2049" s="38">
        <v>2.65</v>
      </c>
      <c r="F2049" s="39">
        <v>23.550111000000001</v>
      </c>
      <c r="G2049" s="38">
        <v>7.9774911000000004E-2</v>
      </c>
      <c r="H2049" s="38">
        <v>0.37740868999999999</v>
      </c>
      <c r="I2049" s="38">
        <v>0.27683406999999999</v>
      </c>
      <c r="J2049" s="38">
        <v>5.1201244999999999E-2</v>
      </c>
      <c r="K2049" s="38">
        <v>0.12965884</v>
      </c>
      <c r="L2049" s="40">
        <v>24.464988756000004</v>
      </c>
    </row>
    <row r="2050" spans="1:12" hidden="1">
      <c r="A2050" s="37" t="s">
        <v>2871</v>
      </c>
      <c r="B2050" s="37"/>
      <c r="C2050" s="37" t="s">
        <v>788</v>
      </c>
      <c r="D2050" s="64">
        <v>40409</v>
      </c>
      <c r="E2050" s="38">
        <v>2.63</v>
      </c>
      <c r="F2050" s="39">
        <v>17.171357</v>
      </c>
      <c r="G2050" s="38">
        <v>5.7167698000000003E-2</v>
      </c>
      <c r="H2050" s="38">
        <v>0.27530876999999998</v>
      </c>
      <c r="I2050" s="38">
        <v>0.20135906000000001</v>
      </c>
      <c r="J2050" s="38">
        <v>3.7353873000000003E-2</v>
      </c>
      <c r="K2050" s="38">
        <v>6.6736979E-3</v>
      </c>
      <c r="L2050" s="40">
        <v>17.7492200989</v>
      </c>
    </row>
    <row r="2051" spans="1:12" hidden="1">
      <c r="A2051" s="41" t="s">
        <v>2872</v>
      </c>
      <c r="B2051" s="41"/>
      <c r="C2051" s="41" t="s">
        <v>807</v>
      </c>
      <c r="D2051" s="65">
        <v>11068</v>
      </c>
      <c r="E2051" s="42">
        <v>3.75</v>
      </c>
      <c r="F2051" s="43">
        <v>0.22186655999999999</v>
      </c>
      <c r="G2051" s="42">
        <v>0</v>
      </c>
      <c r="H2051" s="42">
        <v>0.32904318999999999</v>
      </c>
      <c r="I2051" s="42">
        <v>0.16258027</v>
      </c>
      <c r="J2051" s="42">
        <v>1.9594963E-2</v>
      </c>
      <c r="K2051" s="42">
        <v>8.0351048999999994E-2</v>
      </c>
      <c r="L2051" s="44">
        <v>0.81343603199999992</v>
      </c>
    </row>
    <row r="2052" spans="1:12" hidden="1">
      <c r="A2052" s="41" t="s">
        <v>2873</v>
      </c>
      <c r="B2052" s="41"/>
      <c r="C2052" s="41" t="s">
        <v>807</v>
      </c>
      <c r="D2052" s="65">
        <v>11036</v>
      </c>
      <c r="E2052" s="42">
        <v>3.75</v>
      </c>
      <c r="F2052" s="43">
        <v>0.88036652999999998</v>
      </c>
      <c r="G2052" s="42">
        <v>0</v>
      </c>
      <c r="H2052" s="42">
        <v>0.47782284000000003</v>
      </c>
      <c r="I2052" s="42">
        <v>0.17533238000000001</v>
      </c>
      <c r="J2052" s="42">
        <v>1.5675970000000001E-2</v>
      </c>
      <c r="K2052" s="42">
        <v>0</v>
      </c>
      <c r="L2052" s="44">
        <v>1.54919772</v>
      </c>
    </row>
    <row r="2053" spans="1:12" hidden="1">
      <c r="A2053" s="41" t="s">
        <v>2874</v>
      </c>
      <c r="B2053" s="41"/>
      <c r="C2053" s="41" t="s">
        <v>631</v>
      </c>
      <c r="D2053" s="65">
        <v>28917</v>
      </c>
      <c r="E2053" s="42">
        <v>2.4500000000000002</v>
      </c>
      <c r="F2053" s="43">
        <v>7.145581</v>
      </c>
      <c r="G2053" s="42">
        <v>0.60116000000000003</v>
      </c>
      <c r="H2053" s="42">
        <v>0.59768387000000001</v>
      </c>
      <c r="I2053" s="42">
        <v>0.25626989</v>
      </c>
      <c r="J2053" s="42">
        <v>4.6692341999999998E-2</v>
      </c>
      <c r="K2053" s="42">
        <v>8.8693171000000001E-2</v>
      </c>
      <c r="L2053" s="44">
        <v>8.7360802730000007</v>
      </c>
    </row>
    <row r="2054" spans="1:12" hidden="1">
      <c r="A2054" s="41" t="s">
        <v>2875</v>
      </c>
      <c r="B2054" s="41"/>
      <c r="C2054" s="41" t="s">
        <v>640</v>
      </c>
      <c r="D2054" s="65">
        <v>12500</v>
      </c>
      <c r="E2054" s="42">
        <v>2.11</v>
      </c>
      <c r="F2054" s="43">
        <v>5.2393670999999999</v>
      </c>
      <c r="G2054" s="42">
        <v>0.29382051999999997</v>
      </c>
      <c r="H2054" s="42">
        <v>0.18031662000000001</v>
      </c>
      <c r="I2054" s="42">
        <v>0.21100323000000001</v>
      </c>
      <c r="J2054" s="42">
        <v>3.5969872999999999E-2</v>
      </c>
      <c r="K2054" s="42">
        <v>6.6736979E-3</v>
      </c>
      <c r="L2054" s="44">
        <v>5.9671510409000001</v>
      </c>
    </row>
    <row r="2055" spans="1:12" hidden="1">
      <c r="A2055" s="41" t="s">
        <v>2876</v>
      </c>
      <c r="B2055" s="41"/>
      <c r="C2055" s="41" t="s">
        <v>842</v>
      </c>
      <c r="D2055" s="65">
        <v>20217</v>
      </c>
      <c r="E2055" s="42">
        <v>2.6</v>
      </c>
      <c r="F2055" s="43">
        <v>0.30023238000000002</v>
      </c>
      <c r="G2055" s="42">
        <v>0</v>
      </c>
      <c r="H2055" s="42">
        <v>0</v>
      </c>
      <c r="I2055" s="42">
        <v>0.36475004999999999</v>
      </c>
      <c r="J2055" s="42">
        <v>6.1814329000000001E-2</v>
      </c>
      <c r="K2055" s="42">
        <v>0.21426945999999999</v>
      </c>
      <c r="L2055" s="44">
        <v>0.94106621899999998</v>
      </c>
    </row>
    <row r="2056" spans="1:12" hidden="1">
      <c r="A2056" s="41" t="s">
        <v>2877</v>
      </c>
      <c r="B2056" s="41"/>
      <c r="C2056" s="41" t="s">
        <v>631</v>
      </c>
      <c r="D2056" s="65">
        <v>30304</v>
      </c>
      <c r="E2056" s="42">
        <v>2.5299999999999998</v>
      </c>
      <c r="F2056" s="43">
        <v>4.9476452999999996</v>
      </c>
      <c r="G2056" s="42">
        <v>0.63823974999999999</v>
      </c>
      <c r="H2056" s="42">
        <v>9.8197302E-2</v>
      </c>
      <c r="I2056" s="42">
        <v>0.20284341</v>
      </c>
      <c r="J2056" s="42">
        <v>3.7353873000000003E-2</v>
      </c>
      <c r="K2056" s="42">
        <v>6.6736979E-3</v>
      </c>
      <c r="L2056" s="44">
        <v>5.9309533328999997</v>
      </c>
    </row>
    <row r="2057" spans="1:12" hidden="1">
      <c r="A2057" s="41" t="s">
        <v>2878</v>
      </c>
      <c r="B2057" s="41"/>
      <c r="C2057" s="41" t="s">
        <v>628</v>
      </c>
      <c r="D2057" s="65">
        <v>4039</v>
      </c>
      <c r="E2057" s="42">
        <v>2.81</v>
      </c>
      <c r="F2057" s="43">
        <v>0.39797733000000002</v>
      </c>
      <c r="G2057" s="42">
        <v>0.15157706000000001</v>
      </c>
      <c r="H2057" s="42">
        <v>0.27079121</v>
      </c>
      <c r="I2057" s="42">
        <v>0.23050006000000001</v>
      </c>
      <c r="J2057" s="42">
        <v>3.7768032999999999E-2</v>
      </c>
      <c r="K2057" s="42">
        <v>9.2564276000000001E-2</v>
      </c>
      <c r="L2057" s="44">
        <v>1.1811779690000002</v>
      </c>
    </row>
    <row r="2058" spans="1:12" hidden="1">
      <c r="A2058" s="41" t="s">
        <v>2879</v>
      </c>
      <c r="B2058" s="41"/>
      <c r="C2058" s="41" t="s">
        <v>631</v>
      </c>
      <c r="D2058" s="65">
        <v>28976</v>
      </c>
      <c r="E2058" s="42">
        <v>3.11</v>
      </c>
      <c r="F2058" s="43">
        <v>6.8523363000000002</v>
      </c>
      <c r="G2058" s="42">
        <v>1.4273321999999999</v>
      </c>
      <c r="H2058" s="42">
        <v>0.36447298</v>
      </c>
      <c r="I2058" s="42">
        <v>0.32225175</v>
      </c>
      <c r="J2058" s="42">
        <v>4.9451666999999998E-2</v>
      </c>
      <c r="K2058" s="42">
        <v>9.4725686000000003E-2</v>
      </c>
      <c r="L2058" s="44">
        <v>9.1105705829999994</v>
      </c>
    </row>
    <row r="2059" spans="1:12" hidden="1">
      <c r="A2059" s="41" t="s">
        <v>2880</v>
      </c>
      <c r="B2059" s="41"/>
      <c r="C2059" s="41" t="s">
        <v>826</v>
      </c>
      <c r="D2059" s="65">
        <v>26085</v>
      </c>
      <c r="E2059" s="42">
        <v>3.68</v>
      </c>
      <c r="F2059" s="43">
        <v>5.3474227000000001</v>
      </c>
      <c r="G2059" s="42">
        <v>0</v>
      </c>
      <c r="H2059" s="42">
        <v>0.27530876999999998</v>
      </c>
      <c r="I2059" s="42">
        <v>1.0455774</v>
      </c>
      <c r="J2059" s="42">
        <v>3.7353873000000003E-2</v>
      </c>
      <c r="K2059" s="42">
        <v>6.6736979E-3</v>
      </c>
      <c r="L2059" s="44">
        <v>6.7123364408999997</v>
      </c>
    </row>
    <row r="2060" spans="1:12" hidden="1">
      <c r="A2060" s="41" t="s">
        <v>2881</v>
      </c>
      <c r="B2060" s="41"/>
      <c r="C2060" s="41" t="s">
        <v>826</v>
      </c>
      <c r="D2060" s="65">
        <v>26110</v>
      </c>
      <c r="E2060" s="42">
        <v>3.56</v>
      </c>
      <c r="F2060" s="43">
        <v>6.5295133999999999</v>
      </c>
      <c r="G2060" s="42">
        <v>0</v>
      </c>
      <c r="H2060" s="42">
        <v>0.33616797999999998</v>
      </c>
      <c r="I2060" s="42">
        <v>1.2767107</v>
      </c>
      <c r="J2060" s="42">
        <v>4.5611246000000001E-2</v>
      </c>
      <c r="K2060" s="42">
        <v>9.4039550999999999E-2</v>
      </c>
      <c r="L2060" s="44">
        <v>8.2820428770000003</v>
      </c>
    </row>
    <row r="2061" spans="1:12" hidden="1">
      <c r="A2061" s="41" t="s">
        <v>2882</v>
      </c>
      <c r="B2061" s="41"/>
      <c r="C2061" s="41" t="s">
        <v>826</v>
      </c>
      <c r="D2061" s="65">
        <v>26244</v>
      </c>
      <c r="E2061" s="42">
        <v>3.62</v>
      </c>
      <c r="F2061" s="43">
        <v>5.3474227000000001</v>
      </c>
      <c r="G2061" s="42">
        <v>0.46001826000000001</v>
      </c>
      <c r="H2061" s="42">
        <v>0.26884300999999999</v>
      </c>
      <c r="I2061" s="42">
        <v>1.3596381</v>
      </c>
      <c r="J2061" s="42">
        <v>6.6872780000000007E-2</v>
      </c>
      <c r="K2061" s="42">
        <v>2.5251829999999999E-2</v>
      </c>
      <c r="L2061" s="44">
        <v>7.5280466800000001</v>
      </c>
    </row>
    <row r="2062" spans="1:12" hidden="1">
      <c r="A2062" s="41" t="s">
        <v>2883</v>
      </c>
      <c r="B2062" s="41"/>
      <c r="C2062" s="41" t="s">
        <v>631</v>
      </c>
      <c r="D2062" s="65">
        <v>8373</v>
      </c>
      <c r="E2062" s="42">
        <v>2.65</v>
      </c>
      <c r="F2062" s="43">
        <v>8.5914915999999995</v>
      </c>
      <c r="G2062" s="42">
        <v>0.92642071000000004</v>
      </c>
      <c r="H2062" s="42">
        <v>0.46821553999999999</v>
      </c>
      <c r="I2062" s="42">
        <v>0.21471834000000001</v>
      </c>
      <c r="J2062" s="42">
        <v>3.7768032999999999E-2</v>
      </c>
      <c r="K2062" s="42">
        <v>9.2564276000000001E-2</v>
      </c>
      <c r="L2062" s="44">
        <v>10.331178498999998</v>
      </c>
    </row>
    <row r="2063" spans="1:12" hidden="1">
      <c r="A2063" s="41" t="s">
        <v>2884</v>
      </c>
      <c r="B2063" s="41"/>
      <c r="C2063" s="41" t="s">
        <v>903</v>
      </c>
      <c r="D2063" s="65">
        <v>25419</v>
      </c>
      <c r="E2063" s="42">
        <v>2.71</v>
      </c>
      <c r="F2063" s="43">
        <v>1.4025061999999999</v>
      </c>
      <c r="G2063" s="42">
        <v>0.21108398</v>
      </c>
      <c r="H2063" s="42">
        <v>0.27727707000000001</v>
      </c>
      <c r="I2063" s="42">
        <v>0.30950434999999998</v>
      </c>
      <c r="J2063" s="42">
        <v>3.7768032999999999E-2</v>
      </c>
      <c r="K2063" s="42">
        <v>9.2564276000000001E-2</v>
      </c>
      <c r="L2063" s="44">
        <v>2.3307039089999999</v>
      </c>
    </row>
    <row r="2064" spans="1:12" hidden="1">
      <c r="A2064" s="37" t="s">
        <v>2885</v>
      </c>
      <c r="B2064" s="37"/>
      <c r="C2064" s="37" t="s">
        <v>826</v>
      </c>
      <c r="D2064" s="64">
        <v>26074</v>
      </c>
      <c r="E2064" s="38">
        <v>3.64</v>
      </c>
      <c r="F2064" s="39">
        <v>9.3213296000000003</v>
      </c>
      <c r="G2064" s="38">
        <v>0</v>
      </c>
      <c r="H2064" s="38">
        <v>0.27530876999999998</v>
      </c>
      <c r="I2064" s="38">
        <v>1.1705296999999999</v>
      </c>
      <c r="J2064" s="38">
        <v>3.7353873000000003E-2</v>
      </c>
      <c r="K2064" s="38">
        <v>6.6736979E-3</v>
      </c>
      <c r="L2064" s="40">
        <v>10.811195640900001</v>
      </c>
    </row>
    <row r="2065" spans="1:12" hidden="1">
      <c r="A2065" s="37" t="s">
        <v>2886</v>
      </c>
      <c r="B2065" s="37"/>
      <c r="C2065" s="37" t="s">
        <v>873</v>
      </c>
      <c r="D2065" s="64">
        <v>26033</v>
      </c>
      <c r="E2065" s="38">
        <v>3.52</v>
      </c>
      <c r="F2065" s="39">
        <v>11.381883999999999</v>
      </c>
      <c r="G2065" s="38">
        <v>0</v>
      </c>
      <c r="H2065" s="38">
        <v>0.22504651000000001</v>
      </c>
      <c r="I2065" s="38">
        <v>1.4292847</v>
      </c>
      <c r="J2065" s="38">
        <v>4.5611246000000001E-2</v>
      </c>
      <c r="K2065" s="38">
        <v>9.4039550999999999E-2</v>
      </c>
      <c r="L2065" s="40">
        <v>13.175866007</v>
      </c>
    </row>
    <row r="2066" spans="1:12" hidden="1">
      <c r="A2066" s="41" t="s">
        <v>2887</v>
      </c>
      <c r="B2066" s="41"/>
      <c r="C2066" s="41" t="s">
        <v>842</v>
      </c>
      <c r="D2066" s="65">
        <v>20201</v>
      </c>
      <c r="E2066" s="42">
        <v>2.6</v>
      </c>
      <c r="F2066" s="43">
        <v>9.1697658000000001E-2</v>
      </c>
      <c r="G2066" s="42">
        <v>0</v>
      </c>
      <c r="H2066" s="42">
        <v>0</v>
      </c>
      <c r="I2066" s="42">
        <v>0.27356253000000003</v>
      </c>
      <c r="J2066" s="42">
        <v>1.2217853000000001E-2</v>
      </c>
      <c r="K2066" s="42">
        <v>8.0351048999999994E-2</v>
      </c>
      <c r="L2066" s="44">
        <v>0.45782909000000005</v>
      </c>
    </row>
    <row r="2067" spans="1:12" hidden="1">
      <c r="A2067" s="41" t="s">
        <v>2888</v>
      </c>
      <c r="B2067" s="41"/>
      <c r="C2067" s="41" t="s">
        <v>842</v>
      </c>
      <c r="D2067" s="65">
        <v>20165</v>
      </c>
      <c r="E2067" s="42">
        <v>3</v>
      </c>
      <c r="F2067" s="43">
        <v>0.1071146</v>
      </c>
      <c r="G2067" s="42">
        <v>0</v>
      </c>
      <c r="H2067" s="42">
        <v>0.28002042999999999</v>
      </c>
      <c r="I2067" s="42">
        <v>0.3335497</v>
      </c>
      <c r="J2067" s="42">
        <v>1.4272017E-2</v>
      </c>
      <c r="K2067" s="42">
        <v>0.20967494</v>
      </c>
      <c r="L2067" s="44">
        <v>0.944631687</v>
      </c>
    </row>
    <row r="2068" spans="1:12" hidden="1">
      <c r="A2068" s="41" t="s">
        <v>2889</v>
      </c>
      <c r="B2068" s="41"/>
      <c r="C2068" s="41" t="s">
        <v>623</v>
      </c>
      <c r="D2068" s="65">
        <v>24070</v>
      </c>
      <c r="E2068" s="42">
        <v>2.2799999999999998</v>
      </c>
      <c r="F2068" s="43">
        <v>1.9620172</v>
      </c>
      <c r="G2068" s="42">
        <v>0.21100580999999999</v>
      </c>
      <c r="H2068" s="42">
        <v>0.10984743</v>
      </c>
      <c r="I2068" s="42">
        <v>0.16350609999999999</v>
      </c>
      <c r="J2068" s="42">
        <v>1.9437894000000001E-2</v>
      </c>
      <c r="K2068" s="42">
        <v>0</v>
      </c>
      <c r="L2068" s="44">
        <v>2.4658144340000003</v>
      </c>
    </row>
    <row r="2069" spans="1:12" hidden="1">
      <c r="A2069" s="41" t="s">
        <v>2890</v>
      </c>
      <c r="B2069" s="41"/>
      <c r="C2069" s="41" t="s">
        <v>623</v>
      </c>
      <c r="D2069" s="65">
        <v>24080</v>
      </c>
      <c r="E2069" s="42">
        <v>2.0299999999999998</v>
      </c>
      <c r="F2069" s="43">
        <v>5.2974398000000003</v>
      </c>
      <c r="G2069" s="42">
        <v>0.25035551</v>
      </c>
      <c r="H2069" s="42">
        <v>0.10985896000000001</v>
      </c>
      <c r="I2069" s="42">
        <v>0.17120092000000001</v>
      </c>
      <c r="J2069" s="42">
        <v>1.9437894000000001E-2</v>
      </c>
      <c r="K2069" s="42">
        <v>0</v>
      </c>
      <c r="L2069" s="44">
        <v>5.8482930840000016</v>
      </c>
    </row>
    <row r="2070" spans="1:12" hidden="1">
      <c r="A2070" s="41" t="s">
        <v>2891</v>
      </c>
      <c r="B2070" s="41"/>
      <c r="C2070" s="41" t="s">
        <v>623</v>
      </c>
      <c r="D2070" s="65">
        <v>24072</v>
      </c>
      <c r="E2070" s="42">
        <v>2.2799999999999998</v>
      </c>
      <c r="F2070" s="43">
        <v>1.862859</v>
      </c>
      <c r="G2070" s="42">
        <v>0.27022320999999999</v>
      </c>
      <c r="H2070" s="42">
        <v>0.10984743</v>
      </c>
      <c r="I2070" s="42">
        <v>0.13534800999999999</v>
      </c>
      <c r="J2070" s="42">
        <v>1.9437894000000001E-2</v>
      </c>
      <c r="K2070" s="42">
        <v>0</v>
      </c>
      <c r="L2070" s="44">
        <v>2.397715544</v>
      </c>
    </row>
    <row r="2071" spans="1:12" hidden="1">
      <c r="A2071" s="41" t="s">
        <v>2892</v>
      </c>
      <c r="B2071" s="41"/>
      <c r="C2071" s="41" t="s">
        <v>623</v>
      </c>
      <c r="D2071" s="65">
        <v>24071</v>
      </c>
      <c r="E2071" s="42">
        <v>2.14</v>
      </c>
      <c r="F2071" s="43">
        <v>2.4824006999999999</v>
      </c>
      <c r="G2071" s="42">
        <v>0.23366513</v>
      </c>
      <c r="H2071" s="42">
        <v>0.10986902</v>
      </c>
      <c r="I2071" s="42">
        <v>0.1353007</v>
      </c>
      <c r="J2071" s="42">
        <v>1.9437894000000001E-2</v>
      </c>
      <c r="K2071" s="42">
        <v>0</v>
      </c>
      <c r="L2071" s="44">
        <v>2.9806734440000002</v>
      </c>
    </row>
    <row r="2072" spans="1:12" hidden="1">
      <c r="A2072" s="37" t="s">
        <v>2893</v>
      </c>
      <c r="B2072" s="37"/>
      <c r="C2072" s="37" t="s">
        <v>826</v>
      </c>
      <c r="D2072" s="64">
        <v>26153</v>
      </c>
      <c r="E2072" s="38">
        <v>3.64</v>
      </c>
      <c r="F2072" s="39">
        <v>9.3213296000000003</v>
      </c>
      <c r="G2072" s="38">
        <v>0</v>
      </c>
      <c r="H2072" s="38">
        <v>0.27530876999999998</v>
      </c>
      <c r="I2072" s="38">
        <v>1.1705296999999999</v>
      </c>
      <c r="J2072" s="38">
        <v>3.7353873000000003E-2</v>
      </c>
      <c r="K2072" s="38">
        <v>6.6736979E-3</v>
      </c>
      <c r="L2072" s="40">
        <v>10.811195640900001</v>
      </c>
    </row>
    <row r="2073" spans="1:12" hidden="1">
      <c r="A2073" s="41" t="s">
        <v>2894</v>
      </c>
      <c r="B2073" s="41"/>
      <c r="C2073" s="41" t="s">
        <v>1199</v>
      </c>
      <c r="D2073" s="65">
        <v>11039</v>
      </c>
      <c r="E2073" s="42">
        <v>3.75</v>
      </c>
      <c r="F2073" s="43">
        <v>6.8743721000000004</v>
      </c>
      <c r="G2073" s="42">
        <v>0.44480792000000002</v>
      </c>
      <c r="H2073" s="42">
        <v>0.47782284000000003</v>
      </c>
      <c r="I2073" s="42">
        <v>0.33418850999999999</v>
      </c>
      <c r="J2073" s="42">
        <v>1.5675970000000001E-2</v>
      </c>
      <c r="K2073" s="42">
        <v>0</v>
      </c>
      <c r="L2073" s="44">
        <v>8.14686734</v>
      </c>
    </row>
    <row r="2074" spans="1:12" hidden="1">
      <c r="A2074" s="37" t="s">
        <v>2895</v>
      </c>
      <c r="B2074" s="37"/>
      <c r="C2074" s="37" t="s">
        <v>1902</v>
      </c>
      <c r="D2074" s="64">
        <v>16520</v>
      </c>
      <c r="E2074" s="38">
        <v>2.58</v>
      </c>
      <c r="F2074" s="39">
        <v>1.0862319</v>
      </c>
      <c r="G2074" s="38">
        <v>5.5312090000000001E-2</v>
      </c>
      <c r="H2074" s="38">
        <v>0.18086906</v>
      </c>
      <c r="I2074" s="38">
        <v>0.18752339000000001</v>
      </c>
      <c r="J2074" s="38">
        <v>3.9319684000000001E-2</v>
      </c>
      <c r="K2074" s="38">
        <v>6.6736979E-3</v>
      </c>
      <c r="L2074" s="40">
        <v>1.5559298219</v>
      </c>
    </row>
    <row r="2075" spans="1:12" hidden="1">
      <c r="A2075" s="41" t="s">
        <v>2896</v>
      </c>
      <c r="B2075" s="41"/>
      <c r="C2075" s="41" t="s">
        <v>640</v>
      </c>
      <c r="D2075" s="65">
        <v>12842</v>
      </c>
      <c r="E2075" s="42">
        <v>2.4500000000000002</v>
      </c>
      <c r="F2075" s="43">
        <v>5.3506866999999998</v>
      </c>
      <c r="G2075" s="42">
        <v>0.29382051999999997</v>
      </c>
      <c r="H2075" s="42">
        <v>0.26233268999999998</v>
      </c>
      <c r="I2075" s="42">
        <v>0.21100323000000001</v>
      </c>
      <c r="J2075" s="42">
        <v>3.5969872999999999E-2</v>
      </c>
      <c r="K2075" s="42">
        <v>6.6736979E-3</v>
      </c>
      <c r="L2075" s="44">
        <v>6.1604867108999999</v>
      </c>
    </row>
    <row r="2076" spans="1:12" hidden="1">
      <c r="A2076" s="37" t="s">
        <v>2897</v>
      </c>
      <c r="B2076" s="37"/>
      <c r="C2076" s="37" t="s">
        <v>640</v>
      </c>
      <c r="D2076" s="64">
        <v>12807</v>
      </c>
      <c r="E2076" s="38">
        <v>2.4500000000000002</v>
      </c>
      <c r="F2076" s="39">
        <v>5.5705779</v>
      </c>
      <c r="G2076" s="38">
        <v>0.29382051999999997</v>
      </c>
      <c r="H2076" s="38">
        <v>0.26233268999999998</v>
      </c>
      <c r="I2076" s="38">
        <v>0.21100323000000001</v>
      </c>
      <c r="J2076" s="38">
        <v>3.5969872999999999E-2</v>
      </c>
      <c r="K2076" s="38">
        <v>6.6736979E-3</v>
      </c>
      <c r="L2076" s="40">
        <v>6.3803779109000001</v>
      </c>
    </row>
    <row r="2077" spans="1:12" hidden="1">
      <c r="A2077" s="41" t="s">
        <v>2898</v>
      </c>
      <c r="B2077" s="41"/>
      <c r="C2077" s="41" t="s">
        <v>640</v>
      </c>
      <c r="D2077" s="65">
        <v>12052</v>
      </c>
      <c r="E2077" s="42">
        <v>2.2400000000000002</v>
      </c>
      <c r="F2077" s="43">
        <v>3.9966593000000001</v>
      </c>
      <c r="G2077" s="42">
        <v>0.28571007999999998</v>
      </c>
      <c r="H2077" s="42">
        <v>0.26233268999999998</v>
      </c>
      <c r="I2077" s="42">
        <v>0.21100323000000001</v>
      </c>
      <c r="J2077" s="42">
        <v>3.5969872999999999E-2</v>
      </c>
      <c r="K2077" s="42">
        <v>6.6736979E-3</v>
      </c>
      <c r="L2077" s="44">
        <v>4.7983488709000008</v>
      </c>
    </row>
    <row r="2078" spans="1:12" hidden="1">
      <c r="A2078" s="41" t="s">
        <v>2899</v>
      </c>
      <c r="B2078" s="41"/>
      <c r="C2078" s="41" t="s">
        <v>640</v>
      </c>
      <c r="D2078" s="65">
        <v>12049</v>
      </c>
      <c r="E2078" s="42">
        <v>2.2400000000000002</v>
      </c>
      <c r="F2078" s="43">
        <v>3.8830920999999998</v>
      </c>
      <c r="G2078" s="42">
        <v>0.29152264999999999</v>
      </c>
      <c r="H2078" s="42">
        <v>0.26233268999999998</v>
      </c>
      <c r="I2078" s="42">
        <v>0.21100323000000001</v>
      </c>
      <c r="J2078" s="42">
        <v>3.5969872999999999E-2</v>
      </c>
      <c r="K2078" s="42">
        <v>6.6736979E-3</v>
      </c>
      <c r="L2078" s="44">
        <v>4.6905942409000003</v>
      </c>
    </row>
    <row r="2079" spans="1:12" hidden="1">
      <c r="A2079" s="41" t="s">
        <v>2900</v>
      </c>
      <c r="B2079" s="41"/>
      <c r="C2079" s="41" t="s">
        <v>640</v>
      </c>
      <c r="D2079" s="65">
        <v>12751</v>
      </c>
      <c r="E2079" s="42">
        <v>2.2400000000000002</v>
      </c>
      <c r="F2079" s="43">
        <v>4.3948473000000003</v>
      </c>
      <c r="G2079" s="42">
        <v>0.47089684999999998</v>
      </c>
      <c r="H2079" s="42">
        <v>0.26233268999999998</v>
      </c>
      <c r="I2079" s="42">
        <v>0.21100323000000001</v>
      </c>
      <c r="J2079" s="42">
        <v>3.5969872999999999E-2</v>
      </c>
      <c r="K2079" s="42">
        <v>6.6736979E-3</v>
      </c>
      <c r="L2079" s="44">
        <v>5.3817236409000007</v>
      </c>
    </row>
    <row r="2080" spans="1:12" hidden="1">
      <c r="A2080" s="41" t="s">
        <v>2901</v>
      </c>
      <c r="B2080" s="41"/>
      <c r="C2080" s="41" t="s">
        <v>640</v>
      </c>
      <c r="D2080" s="65">
        <v>12748</v>
      </c>
      <c r="E2080" s="42">
        <v>2.2400000000000002</v>
      </c>
      <c r="F2080" s="43">
        <v>4.3948473000000003</v>
      </c>
      <c r="G2080" s="42">
        <v>0.47089684999999998</v>
      </c>
      <c r="H2080" s="42">
        <v>0.26233268999999998</v>
      </c>
      <c r="I2080" s="42">
        <v>0.21100323000000001</v>
      </c>
      <c r="J2080" s="42">
        <v>3.5969872999999999E-2</v>
      </c>
      <c r="K2080" s="42">
        <v>6.6736979E-3</v>
      </c>
      <c r="L2080" s="44">
        <v>5.3817236409000007</v>
      </c>
    </row>
    <row r="2081" spans="1:12" hidden="1">
      <c r="A2081" s="41" t="s">
        <v>2902</v>
      </c>
      <c r="B2081" s="41"/>
      <c r="C2081" s="41" t="s">
        <v>640</v>
      </c>
      <c r="D2081" s="65">
        <v>12752</v>
      </c>
      <c r="E2081" s="42">
        <v>2.2400000000000002</v>
      </c>
      <c r="F2081" s="43">
        <v>4.3948473000000003</v>
      </c>
      <c r="G2081" s="42">
        <v>0.47089684999999998</v>
      </c>
      <c r="H2081" s="42">
        <v>0.26233268999999998</v>
      </c>
      <c r="I2081" s="42">
        <v>0.21100323000000001</v>
      </c>
      <c r="J2081" s="42">
        <v>3.5969872999999999E-2</v>
      </c>
      <c r="K2081" s="42">
        <v>6.6736979E-3</v>
      </c>
      <c r="L2081" s="44">
        <v>5.3817236409000007</v>
      </c>
    </row>
    <row r="2082" spans="1:12" hidden="1">
      <c r="A2082" s="41" t="s">
        <v>2903</v>
      </c>
      <c r="B2082" s="41"/>
      <c r="C2082" s="41" t="s">
        <v>640</v>
      </c>
      <c r="D2082" s="65">
        <v>12755</v>
      </c>
      <c r="E2082" s="42">
        <v>2.2400000000000002</v>
      </c>
      <c r="F2082" s="43">
        <v>4.7029809</v>
      </c>
      <c r="G2082" s="42">
        <v>0.44092352000000001</v>
      </c>
      <c r="H2082" s="42">
        <v>0.26233268999999998</v>
      </c>
      <c r="I2082" s="42">
        <v>0.21100323000000001</v>
      </c>
      <c r="J2082" s="42">
        <v>3.5969872999999999E-2</v>
      </c>
      <c r="K2082" s="42">
        <v>6.6736979E-3</v>
      </c>
      <c r="L2082" s="44">
        <v>5.6598839109000005</v>
      </c>
    </row>
    <row r="2083" spans="1:12" hidden="1">
      <c r="A2083" s="37" t="s">
        <v>2904</v>
      </c>
      <c r="B2083" s="37"/>
      <c r="C2083" s="37" t="s">
        <v>826</v>
      </c>
      <c r="D2083" s="64">
        <v>26104</v>
      </c>
      <c r="E2083" s="38">
        <v>3.64</v>
      </c>
      <c r="F2083" s="39">
        <v>9.3213296000000003</v>
      </c>
      <c r="G2083" s="38">
        <v>0</v>
      </c>
      <c r="H2083" s="38">
        <v>0.27530876999999998</v>
      </c>
      <c r="I2083" s="38">
        <v>1.1705296999999999</v>
      </c>
      <c r="J2083" s="38">
        <v>3.7353873000000003E-2</v>
      </c>
      <c r="K2083" s="38">
        <v>6.6736979E-3</v>
      </c>
      <c r="L2083" s="40">
        <v>10.811195640900001</v>
      </c>
    </row>
    <row r="2084" spans="1:12" hidden="1">
      <c r="A2084" s="41" t="s">
        <v>2905</v>
      </c>
      <c r="B2084" s="41"/>
      <c r="C2084" s="41" t="s">
        <v>657</v>
      </c>
      <c r="D2084" s="65">
        <v>1026</v>
      </c>
      <c r="E2084" s="42">
        <v>3.29</v>
      </c>
      <c r="F2084" s="43">
        <v>6.2203355000000002E-3</v>
      </c>
      <c r="G2084" s="42">
        <v>0.35111300000000001</v>
      </c>
      <c r="H2084" s="42">
        <v>0.47782284000000003</v>
      </c>
      <c r="I2084" s="42">
        <v>0.17638297999999999</v>
      </c>
      <c r="J2084" s="42">
        <v>1.5108570999999999E-2</v>
      </c>
      <c r="K2084" s="42">
        <v>6.6736979E-3</v>
      </c>
      <c r="L2084" s="44">
        <v>1.0333214244000002</v>
      </c>
    </row>
    <row r="2085" spans="1:12" hidden="1">
      <c r="A2085" s="37" t="s">
        <v>2906</v>
      </c>
      <c r="B2085" s="37"/>
      <c r="C2085" s="37" t="s">
        <v>1231</v>
      </c>
      <c r="D2085" s="64">
        <v>25628</v>
      </c>
      <c r="E2085" s="38">
        <v>2.2200000000000002</v>
      </c>
      <c r="F2085" s="39">
        <v>2.2168299999999999</v>
      </c>
      <c r="G2085" s="38">
        <v>0.33849605999999999</v>
      </c>
      <c r="H2085" s="38">
        <v>0.27727707000000001</v>
      </c>
      <c r="I2085" s="38">
        <v>0.24471270000000001</v>
      </c>
      <c r="J2085" s="38">
        <v>3.7768032999999999E-2</v>
      </c>
      <c r="K2085" s="38">
        <v>6.6736979E-3</v>
      </c>
      <c r="L2085" s="40">
        <v>3.1217575608999999</v>
      </c>
    </row>
    <row r="2086" spans="1:12" hidden="1">
      <c r="A2086" s="41" t="s">
        <v>2907</v>
      </c>
      <c r="B2086" s="41"/>
      <c r="C2086" s="41" t="s">
        <v>1231</v>
      </c>
      <c r="D2086" s="65">
        <v>25602</v>
      </c>
      <c r="E2086" s="42">
        <v>2.68</v>
      </c>
      <c r="F2086" s="43">
        <v>12.99292</v>
      </c>
      <c r="G2086" s="42">
        <v>0.29684825999999997</v>
      </c>
      <c r="H2086" s="42">
        <v>0.32195065</v>
      </c>
      <c r="I2086" s="42">
        <v>1.5611976999999999</v>
      </c>
      <c r="J2086" s="42">
        <v>2.533914E-2</v>
      </c>
      <c r="K2086" s="42">
        <v>0.19366663000000001</v>
      </c>
      <c r="L2086" s="44">
        <v>15.391922379999997</v>
      </c>
    </row>
    <row r="2087" spans="1:12" hidden="1">
      <c r="A2087" s="37" t="s">
        <v>2908</v>
      </c>
      <c r="B2087" s="37"/>
      <c r="C2087" s="37" t="s">
        <v>1231</v>
      </c>
      <c r="D2087" s="64">
        <v>26259</v>
      </c>
      <c r="E2087" s="38">
        <v>2.65</v>
      </c>
      <c r="F2087" s="39">
        <v>0.18633102000000001</v>
      </c>
      <c r="G2087" s="38">
        <v>0.31560751999999997</v>
      </c>
      <c r="H2087" s="38">
        <v>0.28134063999999998</v>
      </c>
      <c r="I2087" s="38">
        <v>0.23134991999999999</v>
      </c>
      <c r="J2087" s="38">
        <v>1.3595637000000001E-2</v>
      </c>
      <c r="K2087" s="38">
        <v>6.6736979E-3</v>
      </c>
      <c r="L2087" s="40">
        <v>1.0348984349000001</v>
      </c>
    </row>
    <row r="2088" spans="1:12" hidden="1">
      <c r="A2088" s="37" t="s">
        <v>2909</v>
      </c>
      <c r="B2088" s="37"/>
      <c r="C2088" s="37" t="s">
        <v>634</v>
      </c>
      <c r="D2088" s="64">
        <v>13134</v>
      </c>
      <c r="E2088" s="38">
        <v>2.4300000000000002</v>
      </c>
      <c r="F2088" s="39">
        <v>0.16218563</v>
      </c>
      <c r="G2088" s="38">
        <v>0.30667872000000002</v>
      </c>
      <c r="H2088" s="38">
        <v>0.23982817000000001</v>
      </c>
      <c r="I2088" s="38">
        <v>0.30092185999999999</v>
      </c>
      <c r="J2088" s="38">
        <v>9.4812730000000001E-3</v>
      </c>
      <c r="K2088" s="38">
        <v>8.0351048999999994E-2</v>
      </c>
      <c r="L2088" s="40">
        <v>1.0994467019999998</v>
      </c>
    </row>
    <row r="2089" spans="1:12" hidden="1">
      <c r="A2089" s="41" t="s">
        <v>2910</v>
      </c>
      <c r="B2089" s="41"/>
      <c r="C2089" s="41" t="s">
        <v>1231</v>
      </c>
      <c r="D2089" s="65">
        <v>25619</v>
      </c>
      <c r="E2089" s="42">
        <v>2.31</v>
      </c>
      <c r="F2089" s="43">
        <v>1.5611119</v>
      </c>
      <c r="G2089" s="42">
        <v>0.66267946</v>
      </c>
      <c r="H2089" s="42">
        <v>0.28134063999999998</v>
      </c>
      <c r="I2089" s="42">
        <v>0.36523742999999997</v>
      </c>
      <c r="J2089" s="42">
        <v>1.3595637000000001E-2</v>
      </c>
      <c r="K2089" s="42">
        <v>6.6736979E-3</v>
      </c>
      <c r="L2089" s="44">
        <v>2.8906387648999998</v>
      </c>
    </row>
    <row r="2090" spans="1:12" hidden="1">
      <c r="A2090" s="41" t="s">
        <v>2911</v>
      </c>
      <c r="B2090" s="41"/>
      <c r="C2090" s="41" t="s">
        <v>1231</v>
      </c>
      <c r="D2090" s="65">
        <v>25615</v>
      </c>
      <c r="E2090" s="42">
        <v>1.91</v>
      </c>
      <c r="F2090" s="43">
        <v>0.50345574999999998</v>
      </c>
      <c r="G2090" s="42">
        <v>0.62272828000000002</v>
      </c>
      <c r="H2090" s="42">
        <v>0.29985094000000001</v>
      </c>
      <c r="I2090" s="42">
        <v>0.24526726000000001</v>
      </c>
      <c r="J2090" s="42">
        <v>1.3595637000000001E-2</v>
      </c>
      <c r="K2090" s="42">
        <v>6.6736979E-3</v>
      </c>
      <c r="L2090" s="44">
        <v>1.6915715649000003</v>
      </c>
    </row>
    <row r="2091" spans="1:12" hidden="1">
      <c r="A2091" s="41" t="s">
        <v>2912</v>
      </c>
      <c r="B2091" s="41"/>
      <c r="C2091" s="41" t="s">
        <v>1231</v>
      </c>
      <c r="D2091" s="65">
        <v>25609</v>
      </c>
      <c r="E2091" s="42">
        <v>1.84</v>
      </c>
      <c r="F2091" s="43">
        <v>1.9889014</v>
      </c>
      <c r="G2091" s="42">
        <v>0.39550657</v>
      </c>
      <c r="H2091" s="42">
        <v>0.40920102000000003</v>
      </c>
      <c r="I2091" s="42">
        <v>0.24165513999999999</v>
      </c>
      <c r="J2091" s="42">
        <v>1.3595637000000001E-2</v>
      </c>
      <c r="K2091" s="42">
        <v>6.6736979E-3</v>
      </c>
      <c r="L2091" s="44">
        <v>3.0555334648999999</v>
      </c>
    </row>
    <row r="2092" spans="1:12" hidden="1">
      <c r="A2092" s="41" t="s">
        <v>2913</v>
      </c>
      <c r="B2092" s="41"/>
      <c r="C2092" s="41" t="s">
        <v>1231</v>
      </c>
      <c r="D2092" s="65">
        <v>25606</v>
      </c>
      <c r="E2092" s="42">
        <v>1.72</v>
      </c>
      <c r="F2092" s="43">
        <v>3.2849495000000002</v>
      </c>
      <c r="G2092" s="42">
        <v>0.41368665999999998</v>
      </c>
      <c r="H2092" s="42">
        <v>0.49681591000000003</v>
      </c>
      <c r="I2092" s="42">
        <v>0.2284709</v>
      </c>
      <c r="J2092" s="42">
        <v>1.3594837E-2</v>
      </c>
      <c r="K2092" s="42">
        <v>6.6736979E-3</v>
      </c>
      <c r="L2092" s="44">
        <v>4.4441915049</v>
      </c>
    </row>
    <row r="2093" spans="1:12" hidden="1">
      <c r="A2093" s="41" t="s">
        <v>2914</v>
      </c>
      <c r="B2093" s="41"/>
      <c r="C2093" s="41" t="s">
        <v>1231</v>
      </c>
      <c r="D2093" s="65">
        <v>25614</v>
      </c>
      <c r="E2093" s="42">
        <v>2.06</v>
      </c>
      <c r="F2093" s="43">
        <v>0.63783776999999997</v>
      </c>
      <c r="G2093" s="42">
        <v>0.20094086999999999</v>
      </c>
      <c r="H2093" s="42">
        <v>0.27727707000000001</v>
      </c>
      <c r="I2093" s="42">
        <v>0.26758034000000003</v>
      </c>
      <c r="J2093" s="42">
        <v>3.7768032999999999E-2</v>
      </c>
      <c r="K2093" s="42">
        <v>6.6736979E-3</v>
      </c>
      <c r="L2093" s="44">
        <v>1.4280777809</v>
      </c>
    </row>
    <row r="2094" spans="1:12" hidden="1">
      <c r="A2094" s="41" t="s">
        <v>2915</v>
      </c>
      <c r="B2094" s="41"/>
      <c r="C2094" s="41" t="s">
        <v>1231</v>
      </c>
      <c r="D2094" s="65">
        <v>25601</v>
      </c>
      <c r="E2094" s="42">
        <v>2.59</v>
      </c>
      <c r="F2094" s="43">
        <v>3.2565635999999998</v>
      </c>
      <c r="G2094" s="42">
        <v>0.56577659000000002</v>
      </c>
      <c r="H2094" s="42">
        <v>0.27478147000000003</v>
      </c>
      <c r="I2094" s="42">
        <v>0.75881624000000003</v>
      </c>
      <c r="J2094" s="42">
        <v>2.533914E-2</v>
      </c>
      <c r="K2094" s="42">
        <v>0.19366663000000001</v>
      </c>
      <c r="L2094" s="44">
        <v>5.0749436699999997</v>
      </c>
    </row>
    <row r="2095" spans="1:12" hidden="1">
      <c r="A2095" s="37" t="s">
        <v>2916</v>
      </c>
      <c r="B2095" s="37"/>
      <c r="C2095" s="37" t="s">
        <v>842</v>
      </c>
      <c r="D2095" s="64">
        <v>20012</v>
      </c>
      <c r="E2095" s="38">
        <v>2.74</v>
      </c>
      <c r="F2095" s="39">
        <v>0.22517429</v>
      </c>
      <c r="G2095" s="38">
        <v>0</v>
      </c>
      <c r="H2095" s="38">
        <v>0</v>
      </c>
      <c r="I2095" s="38">
        <v>0.27356253000000003</v>
      </c>
      <c r="J2095" s="38">
        <v>4.6360746000000001E-2</v>
      </c>
      <c r="K2095" s="38">
        <v>8.0351048999999994E-2</v>
      </c>
      <c r="L2095" s="40">
        <v>0.62544861500000004</v>
      </c>
    </row>
    <row r="2096" spans="1:12" hidden="1">
      <c r="A2096" s="37" t="s">
        <v>2917</v>
      </c>
      <c r="B2096" s="37"/>
      <c r="C2096" s="37" t="s">
        <v>842</v>
      </c>
      <c r="D2096" s="64">
        <v>25604</v>
      </c>
      <c r="E2096" s="38">
        <v>2.6</v>
      </c>
      <c r="F2096" s="39">
        <v>0.30023238000000002</v>
      </c>
      <c r="G2096" s="38">
        <v>0</v>
      </c>
      <c r="H2096" s="38">
        <v>0</v>
      </c>
      <c r="I2096" s="38">
        <v>0.36475004999999999</v>
      </c>
      <c r="J2096" s="38">
        <v>6.1814329000000001E-2</v>
      </c>
      <c r="K2096" s="38">
        <v>0.21426945999999999</v>
      </c>
      <c r="L2096" s="40">
        <v>0.94106621899999998</v>
      </c>
    </row>
    <row r="2097" spans="1:12" hidden="1">
      <c r="A2097" s="41" t="s">
        <v>2918</v>
      </c>
      <c r="B2097" s="41"/>
      <c r="C2097" s="41" t="s">
        <v>631</v>
      </c>
      <c r="D2097" s="65">
        <v>30350</v>
      </c>
      <c r="E2097" s="42">
        <v>2.5099999999999998</v>
      </c>
      <c r="F2097" s="43">
        <v>4.9476452999999996</v>
      </c>
      <c r="G2097" s="42">
        <v>0.63823974999999999</v>
      </c>
      <c r="H2097" s="42">
        <v>9.8197302E-2</v>
      </c>
      <c r="I2097" s="42">
        <v>0.20284341</v>
      </c>
      <c r="J2097" s="42">
        <v>3.7353873000000003E-2</v>
      </c>
      <c r="K2097" s="42">
        <v>6.6736979E-3</v>
      </c>
      <c r="L2097" s="44">
        <v>5.9309533328999997</v>
      </c>
    </row>
    <row r="2098" spans="1:12" hidden="1">
      <c r="A2098" s="41" t="s">
        <v>2919</v>
      </c>
      <c r="B2098" s="41"/>
      <c r="C2098" s="41" t="s">
        <v>631</v>
      </c>
      <c r="D2098" s="65">
        <v>30352</v>
      </c>
      <c r="E2098" s="42">
        <v>2.5099999999999998</v>
      </c>
      <c r="F2098" s="43">
        <v>4.9997258000000002</v>
      </c>
      <c r="G2098" s="42">
        <v>0.64495807000000005</v>
      </c>
      <c r="H2098" s="42">
        <v>9.8416756999999994E-2</v>
      </c>
      <c r="I2098" s="42">
        <v>0.20449572999999999</v>
      </c>
      <c r="J2098" s="42">
        <v>3.7768032999999999E-2</v>
      </c>
      <c r="K2098" s="42">
        <v>6.6736979E-3</v>
      </c>
      <c r="L2098" s="44">
        <v>5.9920380879000001</v>
      </c>
    </row>
    <row r="2099" spans="1:12" hidden="1">
      <c r="A2099" s="41" t="s">
        <v>2920</v>
      </c>
      <c r="B2099" s="41"/>
      <c r="C2099" s="41" t="s">
        <v>631</v>
      </c>
      <c r="D2099" s="65">
        <v>30351</v>
      </c>
      <c r="E2099" s="42">
        <v>2.5099999999999998</v>
      </c>
      <c r="F2099" s="43">
        <v>4.9476452999999996</v>
      </c>
      <c r="G2099" s="42">
        <v>0.63823974999999999</v>
      </c>
      <c r="H2099" s="42">
        <v>9.8197302E-2</v>
      </c>
      <c r="I2099" s="42">
        <v>0.20284341</v>
      </c>
      <c r="J2099" s="42">
        <v>3.7353873000000003E-2</v>
      </c>
      <c r="K2099" s="42">
        <v>6.6736979E-3</v>
      </c>
      <c r="L2099" s="44">
        <v>5.9309533328999997</v>
      </c>
    </row>
    <row r="2100" spans="1:12" hidden="1">
      <c r="A2100" s="41" t="s">
        <v>2921</v>
      </c>
      <c r="B2100" s="41"/>
      <c r="C2100" s="41" t="s">
        <v>631</v>
      </c>
      <c r="D2100" s="65">
        <v>30366</v>
      </c>
      <c r="E2100" s="42">
        <v>2.5099999999999998</v>
      </c>
      <c r="F2100" s="43">
        <v>4.9476452999999996</v>
      </c>
      <c r="G2100" s="42">
        <v>0.63823974999999999</v>
      </c>
      <c r="H2100" s="42">
        <v>9.8197302E-2</v>
      </c>
      <c r="I2100" s="42">
        <v>0.20284341</v>
      </c>
      <c r="J2100" s="42">
        <v>3.7353873000000003E-2</v>
      </c>
      <c r="K2100" s="42">
        <v>6.6736979E-3</v>
      </c>
      <c r="L2100" s="44">
        <v>5.9309533328999997</v>
      </c>
    </row>
    <row r="2101" spans="1:12" hidden="1">
      <c r="A2101" s="41" t="s">
        <v>2922</v>
      </c>
      <c r="B2101" s="41"/>
      <c r="C2101" s="41" t="s">
        <v>640</v>
      </c>
      <c r="D2101" s="65">
        <v>12725</v>
      </c>
      <c r="E2101" s="42">
        <v>2.2400000000000002</v>
      </c>
      <c r="F2101" s="43">
        <v>4.9885869999999999</v>
      </c>
      <c r="G2101" s="42">
        <v>0.41331649999999998</v>
      </c>
      <c r="H2101" s="42">
        <v>0.26233268999999998</v>
      </c>
      <c r="I2101" s="42">
        <v>0.21100323000000001</v>
      </c>
      <c r="J2101" s="42">
        <v>3.5969872999999999E-2</v>
      </c>
      <c r="K2101" s="42">
        <v>6.6736979E-3</v>
      </c>
      <c r="L2101" s="44">
        <v>5.9178829908999999</v>
      </c>
    </row>
    <row r="2102" spans="1:12" hidden="1">
      <c r="A2102" s="37" t="s">
        <v>2923</v>
      </c>
      <c r="B2102" s="37"/>
      <c r="C2102" s="37" t="s">
        <v>842</v>
      </c>
      <c r="D2102" s="64">
        <v>20283</v>
      </c>
      <c r="E2102" s="38">
        <v>2.21</v>
      </c>
      <c r="F2102" s="39">
        <v>0.65647350000000004</v>
      </c>
      <c r="G2102" s="38">
        <v>0</v>
      </c>
      <c r="H2102" s="38">
        <v>0</v>
      </c>
      <c r="I2102" s="38">
        <v>0.27356253000000003</v>
      </c>
      <c r="J2102" s="38">
        <v>0.15595255</v>
      </c>
      <c r="K2102" s="38">
        <v>8.8693171000000001E-2</v>
      </c>
      <c r="L2102" s="40">
        <v>1.1746817510000003</v>
      </c>
    </row>
    <row r="2103" spans="1:12" hidden="1">
      <c r="A2103" s="41" t="s">
        <v>2924</v>
      </c>
      <c r="B2103" s="41"/>
      <c r="C2103" s="41" t="s">
        <v>842</v>
      </c>
      <c r="D2103" s="65">
        <v>20197</v>
      </c>
      <c r="E2103" s="42">
        <v>2.6</v>
      </c>
      <c r="F2103" s="43">
        <v>9.1697658000000001E-2</v>
      </c>
      <c r="G2103" s="42">
        <v>0</v>
      </c>
      <c r="H2103" s="42">
        <v>0</v>
      </c>
      <c r="I2103" s="42">
        <v>0.27356253000000003</v>
      </c>
      <c r="J2103" s="42">
        <v>1.2217853000000001E-2</v>
      </c>
      <c r="K2103" s="42">
        <v>8.0351048999999994E-2</v>
      </c>
      <c r="L2103" s="44">
        <v>0.45782909000000005</v>
      </c>
    </row>
    <row r="2104" spans="1:12" hidden="1">
      <c r="A2104" s="41" t="s">
        <v>2925</v>
      </c>
      <c r="B2104" s="41"/>
      <c r="C2104" s="41" t="s">
        <v>842</v>
      </c>
      <c r="D2104" s="65">
        <v>20081</v>
      </c>
      <c r="E2104" s="42">
        <v>3.1</v>
      </c>
      <c r="F2104" s="43">
        <v>8.5859693000000001E-2</v>
      </c>
      <c r="G2104" s="42">
        <v>0.35172544</v>
      </c>
      <c r="H2104" s="42">
        <v>0.25915577000000001</v>
      </c>
      <c r="I2104" s="42">
        <v>0.32493076999999998</v>
      </c>
      <c r="J2104" s="42">
        <v>2.3875550999999998E-2</v>
      </c>
      <c r="K2104" s="42">
        <v>1.1022624E-2</v>
      </c>
      <c r="L2104" s="44">
        <v>1.0565698479999999</v>
      </c>
    </row>
    <row r="2105" spans="1:12" hidden="1">
      <c r="A2105" s="41" t="s">
        <v>2926</v>
      </c>
      <c r="B2105" s="41"/>
      <c r="C2105" s="41" t="s">
        <v>842</v>
      </c>
      <c r="D2105" s="65">
        <v>20046</v>
      </c>
      <c r="E2105" s="42">
        <v>3</v>
      </c>
      <c r="F2105" s="43">
        <v>0.1071146</v>
      </c>
      <c r="G2105" s="42">
        <v>0</v>
      </c>
      <c r="H2105" s="42">
        <v>0.28002042999999999</v>
      </c>
      <c r="I2105" s="42">
        <v>0.3335497</v>
      </c>
      <c r="J2105" s="42">
        <v>1.4272017E-2</v>
      </c>
      <c r="K2105" s="42">
        <v>0.19993026999999999</v>
      </c>
      <c r="L2105" s="44">
        <v>0.93488701699999999</v>
      </c>
    </row>
    <row r="2106" spans="1:12" hidden="1">
      <c r="A2106" s="41" t="s">
        <v>2927</v>
      </c>
      <c r="B2106" s="41"/>
      <c r="C2106" s="41" t="s">
        <v>842</v>
      </c>
      <c r="D2106" s="65">
        <v>20237</v>
      </c>
      <c r="E2106" s="42">
        <v>3.1</v>
      </c>
      <c r="F2106" s="43">
        <v>8.2940531999999997E-2</v>
      </c>
      <c r="G2106" s="42">
        <v>4.7685657999999999E-2</v>
      </c>
      <c r="H2106" s="42">
        <v>0.26232822</v>
      </c>
      <c r="I2106" s="42">
        <v>0.21781585000000001</v>
      </c>
      <c r="J2106" s="42">
        <v>6.8654974999999993E-2</v>
      </c>
      <c r="K2106" s="42">
        <v>2.5251829999999999E-2</v>
      </c>
      <c r="L2106" s="44">
        <v>0.70467706499999994</v>
      </c>
    </row>
    <row r="2107" spans="1:12" hidden="1">
      <c r="A2107" s="37" t="s">
        <v>2928</v>
      </c>
      <c r="B2107" s="37"/>
      <c r="C2107" s="37" t="s">
        <v>903</v>
      </c>
      <c r="D2107" s="64">
        <v>25108</v>
      </c>
      <c r="E2107" s="38">
        <v>1.91</v>
      </c>
      <c r="F2107" s="39">
        <v>22.222992999999999</v>
      </c>
      <c r="G2107" s="38">
        <v>0.33219702000000001</v>
      </c>
      <c r="H2107" s="38">
        <v>0.27729536999999999</v>
      </c>
      <c r="I2107" s="38">
        <v>0.21591114</v>
      </c>
      <c r="J2107" s="38">
        <v>3.7768032999999999E-2</v>
      </c>
      <c r="K2107" s="38">
        <v>9.2564276000000001E-2</v>
      </c>
      <c r="L2107" s="40">
        <v>23.178728838999998</v>
      </c>
    </row>
    <row r="2108" spans="1:12" hidden="1">
      <c r="A2108" s="41" t="s">
        <v>2929</v>
      </c>
      <c r="B2108" s="41"/>
      <c r="C2108" s="41" t="s">
        <v>674</v>
      </c>
      <c r="D2108" s="65">
        <v>25518</v>
      </c>
      <c r="E2108" s="42">
        <v>1.63</v>
      </c>
      <c r="F2108" s="43">
        <v>2.429217</v>
      </c>
      <c r="G2108" s="42">
        <v>0.26629427</v>
      </c>
      <c r="H2108" s="42">
        <v>0.27086189999999999</v>
      </c>
      <c r="I2108" s="42">
        <v>0.20425531999999999</v>
      </c>
      <c r="J2108" s="42">
        <v>3.7768032999999999E-2</v>
      </c>
      <c r="K2108" s="42">
        <v>6.6736979E-3</v>
      </c>
      <c r="L2108" s="44">
        <v>3.2150702208999999</v>
      </c>
    </row>
    <row r="2109" spans="1:12" hidden="1">
      <c r="A2109" s="41" t="s">
        <v>2930</v>
      </c>
      <c r="B2109" s="41"/>
      <c r="C2109" s="41" t="s">
        <v>674</v>
      </c>
      <c r="D2109" s="65">
        <v>25530</v>
      </c>
      <c r="E2109" s="42">
        <v>2.65</v>
      </c>
      <c r="F2109" s="43">
        <v>1.3533149</v>
      </c>
      <c r="G2109" s="42">
        <v>0.38556665000000001</v>
      </c>
      <c r="H2109" s="42">
        <v>0.27085773000000002</v>
      </c>
      <c r="I2109" s="42">
        <v>0.23022598999999999</v>
      </c>
      <c r="J2109" s="42">
        <v>3.7768032999999999E-2</v>
      </c>
      <c r="K2109" s="42">
        <v>6.6736979E-3</v>
      </c>
      <c r="L2109" s="44">
        <v>2.2844070008999999</v>
      </c>
    </row>
    <row r="2110" spans="1:12" hidden="1">
      <c r="A2110" s="41" t="s">
        <v>2931</v>
      </c>
      <c r="B2110" s="41"/>
      <c r="C2110" s="41" t="s">
        <v>674</v>
      </c>
      <c r="D2110" s="65">
        <v>25531</v>
      </c>
      <c r="E2110" s="42">
        <v>2.23</v>
      </c>
      <c r="F2110" s="43">
        <v>1.3533149</v>
      </c>
      <c r="G2110" s="42">
        <v>0.38556665000000001</v>
      </c>
      <c r="H2110" s="42">
        <v>0.27085773000000002</v>
      </c>
      <c r="I2110" s="42">
        <v>0.23022598999999999</v>
      </c>
      <c r="J2110" s="42">
        <v>3.7768032999999999E-2</v>
      </c>
      <c r="K2110" s="42">
        <v>6.6736979E-3</v>
      </c>
      <c r="L2110" s="44">
        <v>2.2844070008999999</v>
      </c>
    </row>
    <row r="2111" spans="1:12" hidden="1">
      <c r="A2111" s="41" t="s">
        <v>2932</v>
      </c>
      <c r="B2111" s="41"/>
      <c r="C2111" s="41" t="s">
        <v>674</v>
      </c>
      <c r="D2111" s="65">
        <v>25485</v>
      </c>
      <c r="E2111" s="42">
        <v>1.87</v>
      </c>
      <c r="F2111" s="43">
        <v>3.6007433999999998</v>
      </c>
      <c r="G2111" s="42">
        <v>0.40494450999999998</v>
      </c>
      <c r="H2111" s="42">
        <v>0.42692852999999997</v>
      </c>
      <c r="I2111" s="42">
        <v>0.20387839999999999</v>
      </c>
      <c r="J2111" s="42">
        <v>3.7768032999999999E-2</v>
      </c>
      <c r="K2111" s="42">
        <v>6.6736979E-3</v>
      </c>
      <c r="L2111" s="44">
        <v>4.6809365708999993</v>
      </c>
    </row>
    <row r="2112" spans="1:12" hidden="1">
      <c r="A2112" s="41" t="s">
        <v>2933</v>
      </c>
      <c r="B2112" s="41"/>
      <c r="C2112" s="41" t="s">
        <v>674</v>
      </c>
      <c r="D2112" s="65">
        <v>25517</v>
      </c>
      <c r="E2112" s="42">
        <v>1.87</v>
      </c>
      <c r="F2112" s="43">
        <v>3.5916063</v>
      </c>
      <c r="G2112" s="42">
        <v>0.41325778000000002</v>
      </c>
      <c r="H2112" s="42">
        <v>0.50274302000000004</v>
      </c>
      <c r="I2112" s="42">
        <v>0.20139728000000001</v>
      </c>
      <c r="J2112" s="42">
        <v>3.7768032999999999E-2</v>
      </c>
      <c r="K2112" s="42">
        <v>6.6736979E-3</v>
      </c>
      <c r="L2112" s="44">
        <v>4.7534461108999997</v>
      </c>
    </row>
    <row r="2113" spans="1:12" hidden="1">
      <c r="A2113" s="41" t="s">
        <v>2934</v>
      </c>
      <c r="B2113" s="41"/>
      <c r="C2113" s="41" t="s">
        <v>674</v>
      </c>
      <c r="D2113" s="65">
        <v>25521</v>
      </c>
      <c r="E2113" s="42">
        <v>1.87</v>
      </c>
      <c r="F2113" s="43">
        <v>3.6007433999999998</v>
      </c>
      <c r="G2113" s="42">
        <v>0.40494450999999998</v>
      </c>
      <c r="H2113" s="42">
        <v>0.42692852999999997</v>
      </c>
      <c r="I2113" s="42">
        <v>0.20387839999999999</v>
      </c>
      <c r="J2113" s="42">
        <v>3.7768032999999999E-2</v>
      </c>
      <c r="K2113" s="42">
        <v>6.6736979E-3</v>
      </c>
      <c r="L2113" s="44">
        <v>4.6809365708999993</v>
      </c>
    </row>
    <row r="2114" spans="1:12" hidden="1">
      <c r="A2114" s="41" t="s">
        <v>2935</v>
      </c>
      <c r="B2114" s="41"/>
      <c r="C2114" s="41" t="s">
        <v>674</v>
      </c>
      <c r="D2114" s="65">
        <v>25475</v>
      </c>
      <c r="E2114" s="42">
        <v>1.87</v>
      </c>
      <c r="F2114" s="43">
        <v>1.6919295999999999</v>
      </c>
      <c r="G2114" s="42">
        <v>0.30797183</v>
      </c>
      <c r="H2114" s="42">
        <v>0.35870597999999998</v>
      </c>
      <c r="I2114" s="42">
        <v>0.21334966999999999</v>
      </c>
      <c r="J2114" s="42">
        <v>3.7768032999999999E-2</v>
      </c>
      <c r="K2114" s="42">
        <v>6.6736979E-3</v>
      </c>
      <c r="L2114" s="44">
        <v>2.6163988108999998</v>
      </c>
    </row>
    <row r="2115" spans="1:12" hidden="1">
      <c r="A2115" s="41" t="s">
        <v>2936</v>
      </c>
      <c r="B2115" s="41"/>
      <c r="C2115" s="41" t="s">
        <v>674</v>
      </c>
      <c r="D2115" s="65">
        <v>25535</v>
      </c>
      <c r="E2115" s="42">
        <v>2.2799999999999998</v>
      </c>
      <c r="F2115" s="43">
        <v>2.5212454000000002</v>
      </c>
      <c r="G2115" s="42">
        <v>0.37164929000000002</v>
      </c>
      <c r="H2115" s="42">
        <v>0.27578141</v>
      </c>
      <c r="I2115" s="42">
        <v>0.19953383</v>
      </c>
      <c r="J2115" s="42">
        <v>3.7768032999999999E-2</v>
      </c>
      <c r="K2115" s="42">
        <v>6.6736979E-3</v>
      </c>
      <c r="L2115" s="44">
        <v>3.4126516609000004</v>
      </c>
    </row>
    <row r="2116" spans="1:12" hidden="1">
      <c r="A2116" s="41" t="s">
        <v>2937</v>
      </c>
      <c r="B2116" s="41"/>
      <c r="C2116" s="41" t="s">
        <v>674</v>
      </c>
      <c r="D2116" s="65">
        <v>25532</v>
      </c>
      <c r="E2116" s="42">
        <v>2.46</v>
      </c>
      <c r="F2116" s="43">
        <v>0.99495911000000015</v>
      </c>
      <c r="G2116" s="42">
        <v>0.31935543</v>
      </c>
      <c r="H2116" s="42">
        <v>0.27086071</v>
      </c>
      <c r="I2116" s="42">
        <v>0.22582709000000001</v>
      </c>
      <c r="J2116" s="42">
        <v>3.7768032999999999E-2</v>
      </c>
      <c r="K2116" s="42">
        <v>6.6736979E-3</v>
      </c>
      <c r="L2116" s="44">
        <v>1.8554440709000004</v>
      </c>
    </row>
    <row r="2117" spans="1:12" hidden="1">
      <c r="A2117" s="41" t="s">
        <v>2938</v>
      </c>
      <c r="B2117" s="41"/>
      <c r="C2117" s="41" t="s">
        <v>674</v>
      </c>
      <c r="D2117" s="65">
        <v>25519</v>
      </c>
      <c r="E2117" s="42">
        <v>2.29</v>
      </c>
      <c r="F2117" s="43">
        <v>1.9836349</v>
      </c>
      <c r="G2117" s="42">
        <v>0.45115826999999997</v>
      </c>
      <c r="H2117" s="42">
        <v>0.30363348000000001</v>
      </c>
      <c r="I2117" s="42">
        <v>0.21597126999999999</v>
      </c>
      <c r="J2117" s="42">
        <v>3.7768032999999999E-2</v>
      </c>
      <c r="K2117" s="42">
        <v>6.6736979E-3</v>
      </c>
      <c r="L2117" s="44">
        <v>2.9988396508999999</v>
      </c>
    </row>
    <row r="2118" spans="1:12" hidden="1">
      <c r="A2118" s="41" t="s">
        <v>2939</v>
      </c>
      <c r="B2118" s="41"/>
      <c r="C2118" s="41" t="s">
        <v>674</v>
      </c>
      <c r="D2118" s="65">
        <v>25533</v>
      </c>
      <c r="E2118" s="42">
        <v>2.27</v>
      </c>
      <c r="F2118" s="43">
        <v>1.6919295999999999</v>
      </c>
      <c r="G2118" s="42">
        <v>0.30797183</v>
      </c>
      <c r="H2118" s="42">
        <v>0.35870597999999998</v>
      </c>
      <c r="I2118" s="42">
        <v>0.21334966999999999</v>
      </c>
      <c r="J2118" s="42">
        <v>3.7768032999999999E-2</v>
      </c>
      <c r="K2118" s="42">
        <v>6.6736979E-3</v>
      </c>
      <c r="L2118" s="44">
        <v>2.6163988108999998</v>
      </c>
    </row>
    <row r="2119" spans="1:12" hidden="1">
      <c r="A2119" s="41" t="s">
        <v>2940</v>
      </c>
      <c r="B2119" s="41"/>
      <c r="C2119" s="41" t="s">
        <v>674</v>
      </c>
      <c r="D2119" s="65">
        <v>25476</v>
      </c>
      <c r="E2119" s="42">
        <v>2.23</v>
      </c>
      <c r="F2119" s="43">
        <v>2.1613631</v>
      </c>
      <c r="G2119" s="42">
        <v>0.7075169</v>
      </c>
      <c r="H2119" s="42">
        <v>0.27086071</v>
      </c>
      <c r="I2119" s="42">
        <v>0.25641249999999999</v>
      </c>
      <c r="J2119" s="42">
        <v>3.7768032999999999E-2</v>
      </c>
      <c r="K2119" s="42">
        <v>6.6736979E-3</v>
      </c>
      <c r="L2119" s="44">
        <v>3.4405949409000001</v>
      </c>
    </row>
    <row r="2120" spans="1:12" hidden="1">
      <c r="A2120" s="41" t="s">
        <v>2941</v>
      </c>
      <c r="B2120" s="41"/>
      <c r="C2120" s="41" t="s">
        <v>674</v>
      </c>
      <c r="D2120" s="65">
        <v>25536</v>
      </c>
      <c r="E2120" s="42">
        <v>2.27</v>
      </c>
      <c r="F2120" s="43">
        <v>3.5916063</v>
      </c>
      <c r="G2120" s="42">
        <v>0.41325778000000002</v>
      </c>
      <c r="H2120" s="42">
        <v>0.50274302000000004</v>
      </c>
      <c r="I2120" s="42">
        <v>0.20139728000000001</v>
      </c>
      <c r="J2120" s="42">
        <v>3.7768032999999999E-2</v>
      </c>
      <c r="K2120" s="42">
        <v>6.6736979E-3</v>
      </c>
      <c r="L2120" s="44">
        <v>4.7534461108999997</v>
      </c>
    </row>
    <row r="2121" spans="1:12" hidden="1">
      <c r="A2121" s="41" t="s">
        <v>2942</v>
      </c>
      <c r="B2121" s="41"/>
      <c r="C2121" s="41" t="s">
        <v>674</v>
      </c>
      <c r="D2121" s="65">
        <v>25520</v>
      </c>
      <c r="E2121" s="42">
        <v>1.89</v>
      </c>
      <c r="F2121" s="43">
        <v>2.5212454000000002</v>
      </c>
      <c r="G2121" s="42">
        <v>0.37164929000000002</v>
      </c>
      <c r="H2121" s="42">
        <v>0.27578141</v>
      </c>
      <c r="I2121" s="42">
        <v>0.19953383</v>
      </c>
      <c r="J2121" s="42">
        <v>3.7768032999999999E-2</v>
      </c>
      <c r="K2121" s="42">
        <v>6.6736979E-3</v>
      </c>
      <c r="L2121" s="44">
        <v>3.4126516609000004</v>
      </c>
    </row>
    <row r="2122" spans="1:12" hidden="1">
      <c r="A2122" s="41" t="s">
        <v>2943</v>
      </c>
      <c r="B2122" s="41"/>
      <c r="C2122" s="41" t="s">
        <v>674</v>
      </c>
      <c r="D2122" s="65">
        <v>25488</v>
      </c>
      <c r="E2122" s="42">
        <v>2.98</v>
      </c>
      <c r="F2122" s="43">
        <v>1.0288257999999999</v>
      </c>
      <c r="G2122" s="42">
        <v>0.21214006999999999</v>
      </c>
      <c r="H2122" s="42">
        <v>0.27085714</v>
      </c>
      <c r="I2122" s="42">
        <v>0.30520045000000001</v>
      </c>
      <c r="J2122" s="42">
        <v>3.7768032999999999E-2</v>
      </c>
      <c r="K2122" s="42">
        <v>6.6736979E-3</v>
      </c>
      <c r="L2122" s="44">
        <v>1.8614651909</v>
      </c>
    </row>
    <row r="2123" spans="1:12" hidden="1">
      <c r="A2123" s="41" t="s">
        <v>2944</v>
      </c>
      <c r="B2123" s="41"/>
      <c r="C2123" s="41" t="s">
        <v>674</v>
      </c>
      <c r="D2123" s="65">
        <v>25431</v>
      </c>
      <c r="E2123" s="42">
        <v>2.56</v>
      </c>
      <c r="F2123" s="43">
        <v>1.3776241</v>
      </c>
      <c r="G2123" s="42">
        <v>0.31311777000000002</v>
      </c>
      <c r="H2123" s="42">
        <v>0.27086071</v>
      </c>
      <c r="I2123" s="42">
        <v>0.41813745000000002</v>
      </c>
      <c r="J2123" s="42">
        <v>3.7768032999999999E-2</v>
      </c>
      <c r="K2123" s="42">
        <v>6.6736979E-3</v>
      </c>
      <c r="L2123" s="44">
        <v>2.4241817609000003</v>
      </c>
    </row>
    <row r="2124" spans="1:12" hidden="1">
      <c r="A2124" s="41" t="s">
        <v>2945</v>
      </c>
      <c r="B2124" s="41"/>
      <c r="C2124" s="41" t="s">
        <v>674</v>
      </c>
      <c r="D2124" s="65">
        <v>25490</v>
      </c>
      <c r="E2124" s="42">
        <v>2.56</v>
      </c>
      <c r="F2124" s="43">
        <v>1.0288257999999999</v>
      </c>
      <c r="G2124" s="42">
        <v>0.21214006999999999</v>
      </c>
      <c r="H2124" s="42">
        <v>0.27085714</v>
      </c>
      <c r="I2124" s="42">
        <v>0.30520045000000001</v>
      </c>
      <c r="J2124" s="42">
        <v>3.7768032999999999E-2</v>
      </c>
      <c r="K2124" s="42">
        <v>6.6736979E-3</v>
      </c>
      <c r="L2124" s="44">
        <v>1.8614651909</v>
      </c>
    </row>
    <row r="2125" spans="1:12" hidden="1">
      <c r="A2125" s="41" t="s">
        <v>2946</v>
      </c>
      <c r="B2125" s="41"/>
      <c r="C2125" s="41" t="s">
        <v>674</v>
      </c>
      <c r="D2125" s="65">
        <v>25429</v>
      </c>
      <c r="E2125" s="42">
        <v>2.37</v>
      </c>
      <c r="F2125" s="43">
        <v>10.917579</v>
      </c>
      <c r="G2125" s="42">
        <v>0.22521754999999999</v>
      </c>
      <c r="H2125" s="42">
        <v>0.27085217</v>
      </c>
      <c r="I2125" s="42">
        <v>0.2106749</v>
      </c>
      <c r="J2125" s="42">
        <v>3.7768032999999999E-2</v>
      </c>
      <c r="K2125" s="42">
        <v>6.6736979E-3</v>
      </c>
      <c r="L2125" s="44">
        <v>11.668765350900001</v>
      </c>
    </row>
    <row r="2126" spans="1:12" hidden="1">
      <c r="A2126" s="41" t="s">
        <v>2947</v>
      </c>
      <c r="B2126" s="41"/>
      <c r="C2126" s="41" t="s">
        <v>674</v>
      </c>
      <c r="D2126" s="65">
        <v>25428</v>
      </c>
      <c r="E2126" s="42">
        <v>2.37</v>
      </c>
      <c r="F2126" s="43">
        <v>10.917579</v>
      </c>
      <c r="G2126" s="42">
        <v>0.22521754999999999</v>
      </c>
      <c r="H2126" s="42">
        <v>0.27085217</v>
      </c>
      <c r="I2126" s="42">
        <v>0.2106749</v>
      </c>
      <c r="J2126" s="42">
        <v>3.7768032999999999E-2</v>
      </c>
      <c r="K2126" s="42">
        <v>6.6736979E-3</v>
      </c>
      <c r="L2126" s="44">
        <v>11.668765350900001</v>
      </c>
    </row>
    <row r="2127" spans="1:12" hidden="1">
      <c r="A2127" s="41" t="s">
        <v>2948</v>
      </c>
      <c r="B2127" s="41"/>
      <c r="C2127" s="41" t="s">
        <v>674</v>
      </c>
      <c r="D2127" s="65">
        <v>25574</v>
      </c>
      <c r="E2127" s="42">
        <v>1.87</v>
      </c>
      <c r="F2127" s="43">
        <v>1.6919295999999999</v>
      </c>
      <c r="G2127" s="42">
        <v>0.30797183</v>
      </c>
      <c r="H2127" s="42">
        <v>0.35870597999999998</v>
      </c>
      <c r="I2127" s="42">
        <v>0.21334966999999999</v>
      </c>
      <c r="J2127" s="42">
        <v>3.7768032999999999E-2</v>
      </c>
      <c r="K2127" s="42">
        <v>6.6736979E-3</v>
      </c>
      <c r="L2127" s="44">
        <v>2.6163988108999998</v>
      </c>
    </row>
    <row r="2128" spans="1:12" hidden="1">
      <c r="A2128" s="41" t="s">
        <v>2949</v>
      </c>
      <c r="B2128" s="41"/>
      <c r="C2128" s="41" t="s">
        <v>674</v>
      </c>
      <c r="D2128" s="65">
        <v>25576</v>
      </c>
      <c r="E2128" s="42">
        <v>1.87</v>
      </c>
      <c r="F2128" s="43">
        <v>3.6007433999999998</v>
      </c>
      <c r="G2128" s="42">
        <v>0.40494450999999998</v>
      </c>
      <c r="H2128" s="42">
        <v>0.42692852999999997</v>
      </c>
      <c r="I2128" s="42">
        <v>0.20387839999999999</v>
      </c>
      <c r="J2128" s="42">
        <v>3.7768032999999999E-2</v>
      </c>
      <c r="K2128" s="42">
        <v>6.6736979E-3</v>
      </c>
      <c r="L2128" s="44">
        <v>4.6809365708999993</v>
      </c>
    </row>
    <row r="2129" spans="1:12" hidden="1">
      <c r="A2129" s="41" t="s">
        <v>2950</v>
      </c>
      <c r="B2129" s="41"/>
      <c r="C2129" s="41" t="s">
        <v>674</v>
      </c>
      <c r="D2129" s="65">
        <v>25577</v>
      </c>
      <c r="E2129" s="42">
        <v>2.23</v>
      </c>
      <c r="F2129" s="43">
        <v>2.1613631</v>
      </c>
      <c r="G2129" s="42">
        <v>0.7075169</v>
      </c>
      <c r="H2129" s="42">
        <v>0.27086071</v>
      </c>
      <c r="I2129" s="42">
        <v>0.25641249999999999</v>
      </c>
      <c r="J2129" s="42">
        <v>3.7768032999999999E-2</v>
      </c>
      <c r="K2129" s="42">
        <v>6.6736979E-3</v>
      </c>
      <c r="L2129" s="44">
        <v>3.4405949409000001</v>
      </c>
    </row>
    <row r="2130" spans="1:12" hidden="1">
      <c r="A2130" s="41" t="s">
        <v>2951</v>
      </c>
      <c r="B2130" s="41"/>
      <c r="C2130" s="41" t="s">
        <v>674</v>
      </c>
      <c r="D2130" s="65">
        <v>25575</v>
      </c>
      <c r="E2130" s="42">
        <v>2.56</v>
      </c>
      <c r="F2130" s="43">
        <v>1.3776241</v>
      </c>
      <c r="G2130" s="42">
        <v>0.31311777000000002</v>
      </c>
      <c r="H2130" s="42">
        <v>0.27086071</v>
      </c>
      <c r="I2130" s="42">
        <v>0.41813745000000002</v>
      </c>
      <c r="J2130" s="42">
        <v>3.7768032999999999E-2</v>
      </c>
      <c r="K2130" s="42">
        <v>6.6736979E-3</v>
      </c>
      <c r="L2130" s="44">
        <v>2.4241817609000003</v>
      </c>
    </row>
    <row r="2131" spans="1:12" hidden="1">
      <c r="A2131" s="41" t="s">
        <v>2952</v>
      </c>
      <c r="B2131" s="41"/>
      <c r="C2131" s="41" t="s">
        <v>674</v>
      </c>
      <c r="D2131" s="65">
        <v>25544</v>
      </c>
      <c r="E2131" s="42">
        <v>2.27</v>
      </c>
      <c r="F2131" s="43">
        <v>1.6919295999999999</v>
      </c>
      <c r="G2131" s="42">
        <v>0.30797183</v>
      </c>
      <c r="H2131" s="42">
        <v>0.35870597999999998</v>
      </c>
      <c r="I2131" s="42">
        <v>0.21334966999999999</v>
      </c>
      <c r="J2131" s="42">
        <v>3.7768032999999999E-2</v>
      </c>
      <c r="K2131" s="42">
        <v>6.6736979E-3</v>
      </c>
      <c r="L2131" s="44">
        <v>2.6163988108999998</v>
      </c>
    </row>
    <row r="2132" spans="1:12" hidden="1">
      <c r="A2132" s="41" t="s">
        <v>2953</v>
      </c>
      <c r="B2132" s="41"/>
      <c r="C2132" s="41" t="s">
        <v>674</v>
      </c>
      <c r="D2132" s="65">
        <v>25434</v>
      </c>
      <c r="E2132" s="42">
        <v>1.87</v>
      </c>
      <c r="F2132" s="43">
        <v>3.2478272000000001</v>
      </c>
      <c r="G2132" s="42">
        <v>0.40330526</v>
      </c>
      <c r="H2132" s="42">
        <v>0.42335355000000002</v>
      </c>
      <c r="I2132" s="42">
        <v>0.20486588999999999</v>
      </c>
      <c r="J2132" s="42">
        <v>3.7768032999999999E-2</v>
      </c>
      <c r="K2132" s="42">
        <v>6.6736979E-3</v>
      </c>
      <c r="L2132" s="44">
        <v>4.3237936309</v>
      </c>
    </row>
    <row r="2133" spans="1:12" hidden="1">
      <c r="A2133" s="37" t="s">
        <v>2954</v>
      </c>
      <c r="B2133" s="37"/>
      <c r="C2133" s="37" t="s">
        <v>788</v>
      </c>
      <c r="D2133" s="64">
        <v>40600</v>
      </c>
      <c r="E2133" s="38">
        <v>2.21</v>
      </c>
      <c r="F2133" s="39">
        <v>26.159801999999999</v>
      </c>
      <c r="G2133" s="38">
        <v>6.5170274E-2</v>
      </c>
      <c r="H2133" s="38">
        <v>0.23038064999999999</v>
      </c>
      <c r="I2133" s="38">
        <v>0.25001562999999999</v>
      </c>
      <c r="J2133" s="38">
        <v>4.6692341999999998E-2</v>
      </c>
      <c r="K2133" s="38">
        <v>8.8693171000000001E-2</v>
      </c>
      <c r="L2133" s="40">
        <v>26.840754066999999</v>
      </c>
    </row>
    <row r="2134" spans="1:12" hidden="1">
      <c r="A2134" s="41" t="s">
        <v>2955</v>
      </c>
      <c r="B2134" s="41"/>
      <c r="C2134" s="41" t="s">
        <v>657</v>
      </c>
      <c r="D2134" s="65">
        <v>1017</v>
      </c>
      <c r="E2134" s="42">
        <v>2.63</v>
      </c>
      <c r="F2134" s="43">
        <v>0.22162889999999999</v>
      </c>
      <c r="G2134" s="42">
        <v>0.11598453</v>
      </c>
      <c r="H2134" s="42">
        <v>0.72679395000000002</v>
      </c>
      <c r="I2134" s="42">
        <v>0.31582335</v>
      </c>
      <c r="J2134" s="42">
        <v>3.5836186999999999E-2</v>
      </c>
      <c r="K2134" s="42">
        <v>6.6736979E-3</v>
      </c>
      <c r="L2134" s="44">
        <v>1.4227406148999999</v>
      </c>
    </row>
    <row r="2135" spans="1:12" hidden="1">
      <c r="A2135" s="37" t="s">
        <v>2956</v>
      </c>
      <c r="B2135" s="37"/>
      <c r="C2135" s="37" t="s">
        <v>782</v>
      </c>
      <c r="D2135" s="64">
        <v>26040</v>
      </c>
      <c r="E2135" s="38">
        <v>2.89</v>
      </c>
      <c r="F2135" s="39">
        <v>1.0970264999999999</v>
      </c>
      <c r="G2135" s="38">
        <v>0.50917767999999997</v>
      </c>
      <c r="H2135" s="38">
        <v>4.1064151999999998</v>
      </c>
      <c r="I2135" s="38">
        <v>0.25521399</v>
      </c>
      <c r="J2135" s="38">
        <v>2.4423727999999999E-2</v>
      </c>
      <c r="K2135" s="38">
        <v>5.4910610999999998E-2</v>
      </c>
      <c r="L2135" s="40">
        <v>6.047167709</v>
      </c>
    </row>
    <row r="2136" spans="1:12" hidden="1">
      <c r="A2136" s="37" t="s">
        <v>2957</v>
      </c>
      <c r="B2136" s="37"/>
      <c r="C2136" s="37" t="s">
        <v>782</v>
      </c>
      <c r="D2136" s="64">
        <v>26034</v>
      </c>
      <c r="E2136" s="38">
        <v>2.89</v>
      </c>
      <c r="F2136" s="39">
        <v>1.0970264999999999</v>
      </c>
      <c r="G2136" s="38">
        <v>0.50917767999999997</v>
      </c>
      <c r="H2136" s="38">
        <v>4.1064151999999998</v>
      </c>
      <c r="I2136" s="38">
        <v>0.25521399</v>
      </c>
      <c r="J2136" s="38">
        <v>2.2468317000000002E-2</v>
      </c>
      <c r="K2136" s="38">
        <v>5.4910610999999998E-2</v>
      </c>
      <c r="L2136" s="40">
        <v>6.045212298</v>
      </c>
    </row>
    <row r="2137" spans="1:12" hidden="1">
      <c r="A2137" s="37" t="s">
        <v>2958</v>
      </c>
      <c r="B2137" s="37"/>
      <c r="C2137" s="37" t="s">
        <v>826</v>
      </c>
      <c r="D2137" s="64">
        <v>26065</v>
      </c>
      <c r="E2137" s="38">
        <v>3.57</v>
      </c>
      <c r="F2137" s="39">
        <v>0.70785436999999995</v>
      </c>
      <c r="G2137" s="38">
        <v>0</v>
      </c>
      <c r="H2137" s="38">
        <v>0.27530876999999998</v>
      </c>
      <c r="I2137" s="38">
        <v>0.90277483999999997</v>
      </c>
      <c r="J2137" s="38">
        <v>3.7353873000000003E-2</v>
      </c>
      <c r="K2137" s="38">
        <v>6.6736979E-3</v>
      </c>
      <c r="L2137" s="40">
        <v>1.9299655509</v>
      </c>
    </row>
    <row r="2138" spans="1:12" hidden="1">
      <c r="A2138" s="37" t="s">
        <v>2959</v>
      </c>
      <c r="B2138" s="37"/>
      <c r="C2138" s="37" t="s">
        <v>782</v>
      </c>
      <c r="D2138" s="64">
        <v>26231</v>
      </c>
      <c r="E2138" s="38">
        <v>2.89</v>
      </c>
      <c r="F2138" s="39">
        <v>1.0970264999999999</v>
      </c>
      <c r="G2138" s="38">
        <v>0.50917767999999997</v>
      </c>
      <c r="H2138" s="38">
        <v>4.1064151999999998</v>
      </c>
      <c r="I2138" s="38">
        <v>0.25521399</v>
      </c>
      <c r="J2138" s="38">
        <v>2.2468317000000002E-2</v>
      </c>
      <c r="K2138" s="38">
        <v>5.4910610999999998E-2</v>
      </c>
      <c r="L2138" s="40">
        <v>6.045212298</v>
      </c>
    </row>
    <row r="2139" spans="1:12" hidden="1">
      <c r="A2139" s="37" t="s">
        <v>2960</v>
      </c>
      <c r="B2139" s="37"/>
      <c r="C2139" s="37" t="s">
        <v>873</v>
      </c>
      <c r="D2139" s="64">
        <v>26136</v>
      </c>
      <c r="E2139" s="38">
        <v>3.46</v>
      </c>
      <c r="F2139" s="39">
        <v>0.86433125</v>
      </c>
      <c r="G2139" s="38">
        <v>0</v>
      </c>
      <c r="H2139" s="38">
        <v>0.22504651000000001</v>
      </c>
      <c r="I2139" s="38">
        <v>1.1023404999999999</v>
      </c>
      <c r="J2139" s="38">
        <v>4.5611246000000001E-2</v>
      </c>
      <c r="K2139" s="38">
        <v>9.4039550999999999E-2</v>
      </c>
      <c r="L2139" s="40">
        <v>2.3313690569999999</v>
      </c>
    </row>
    <row r="2140" spans="1:12" hidden="1">
      <c r="A2140" s="37" t="s">
        <v>2961</v>
      </c>
      <c r="B2140" s="37"/>
      <c r="C2140" s="37" t="s">
        <v>782</v>
      </c>
      <c r="D2140" s="64">
        <v>26035</v>
      </c>
      <c r="E2140" s="38">
        <v>2.89</v>
      </c>
      <c r="F2140" s="39">
        <v>1.0970264999999999</v>
      </c>
      <c r="G2140" s="38">
        <v>0.50917767999999997</v>
      </c>
      <c r="H2140" s="38">
        <v>4.1064151999999998</v>
      </c>
      <c r="I2140" s="38">
        <v>0.25521399</v>
      </c>
      <c r="J2140" s="38">
        <v>2.2468317000000002E-2</v>
      </c>
      <c r="K2140" s="38">
        <v>5.4910610999999998E-2</v>
      </c>
      <c r="L2140" s="40">
        <v>6.045212298</v>
      </c>
    </row>
    <row r="2141" spans="1:12" hidden="1">
      <c r="A2141" s="37" t="s">
        <v>2962</v>
      </c>
      <c r="B2141" s="37"/>
      <c r="C2141" s="37" t="s">
        <v>816</v>
      </c>
      <c r="D2141" s="64">
        <v>9380</v>
      </c>
      <c r="E2141" s="38">
        <v>3</v>
      </c>
      <c r="F2141" s="39">
        <v>0.73765150999999995</v>
      </c>
      <c r="G2141" s="38">
        <v>0</v>
      </c>
      <c r="H2141" s="38">
        <v>0.26506589000000003</v>
      </c>
      <c r="I2141" s="38">
        <v>0.13112868999999999</v>
      </c>
      <c r="J2141" s="38">
        <v>1.606076E-2</v>
      </c>
      <c r="K2141" s="38">
        <v>0</v>
      </c>
      <c r="L2141" s="40">
        <v>1.1499068499999998</v>
      </c>
    </row>
    <row r="2142" spans="1:12" hidden="1">
      <c r="A2142" s="41" t="s">
        <v>2963</v>
      </c>
      <c r="B2142" s="41"/>
      <c r="C2142" s="41" t="s">
        <v>807</v>
      </c>
      <c r="D2142" s="65">
        <v>11062</v>
      </c>
      <c r="E2142" s="42">
        <v>3.75</v>
      </c>
      <c r="F2142" s="43">
        <v>0.88036652999999998</v>
      </c>
      <c r="G2142" s="42">
        <v>0</v>
      </c>
      <c r="H2142" s="42">
        <v>0.47782284000000003</v>
      </c>
      <c r="I2142" s="42">
        <v>0.17533238000000001</v>
      </c>
      <c r="J2142" s="42">
        <v>1.5675970000000001E-2</v>
      </c>
      <c r="K2142" s="42">
        <v>0</v>
      </c>
      <c r="L2142" s="44">
        <v>1.54919772</v>
      </c>
    </row>
    <row r="2143" spans="1:12" hidden="1">
      <c r="A2143" s="37" t="s">
        <v>2964</v>
      </c>
      <c r="B2143" s="37"/>
      <c r="C2143" s="37" t="s">
        <v>1454</v>
      </c>
      <c r="D2143" s="64">
        <v>11159</v>
      </c>
      <c r="E2143" s="38">
        <v>2.9</v>
      </c>
      <c r="F2143" s="39">
        <v>1.4196666</v>
      </c>
      <c r="G2143" s="38">
        <v>0.29586312999999997</v>
      </c>
      <c r="H2143" s="38">
        <v>0.17709348</v>
      </c>
      <c r="I2143" s="38">
        <v>0.19828773</v>
      </c>
      <c r="J2143" s="38">
        <v>3.9976882999999998E-2</v>
      </c>
      <c r="K2143" s="38">
        <v>1.7696322E-2</v>
      </c>
      <c r="L2143" s="40">
        <v>2.1485841450000001</v>
      </c>
    </row>
    <row r="2144" spans="1:12" hidden="1">
      <c r="A2144" s="37" t="s">
        <v>2965</v>
      </c>
      <c r="B2144" s="37"/>
      <c r="C2144" s="37" t="s">
        <v>1454</v>
      </c>
      <c r="D2144" s="64">
        <v>11161</v>
      </c>
      <c r="E2144" s="38">
        <v>2.82</v>
      </c>
      <c r="F2144" s="39">
        <v>1.2189836999999999</v>
      </c>
      <c r="G2144" s="38">
        <v>0.28779901000000002</v>
      </c>
      <c r="H2144" s="38">
        <v>0.17709348</v>
      </c>
      <c r="I2144" s="38">
        <v>0.21768193</v>
      </c>
      <c r="J2144" s="38">
        <v>3.9976882999999998E-2</v>
      </c>
      <c r="K2144" s="38">
        <v>1.7696322E-2</v>
      </c>
      <c r="L2144" s="40">
        <v>1.9592313249999997</v>
      </c>
    </row>
    <row r="2145" spans="1:12" hidden="1">
      <c r="A2145" s="37" t="s">
        <v>2966</v>
      </c>
      <c r="B2145" s="37"/>
      <c r="C2145" s="37" t="s">
        <v>1454</v>
      </c>
      <c r="D2145" s="64">
        <v>11162</v>
      </c>
      <c r="E2145" s="38">
        <v>3.22</v>
      </c>
      <c r="F2145" s="39">
        <v>1.2189836999999999</v>
      </c>
      <c r="G2145" s="38">
        <v>0.28779901000000002</v>
      </c>
      <c r="H2145" s="38">
        <v>0.17709348</v>
      </c>
      <c r="I2145" s="38">
        <v>0.21768193</v>
      </c>
      <c r="J2145" s="38">
        <v>3.9976882999999998E-2</v>
      </c>
      <c r="K2145" s="38">
        <v>1.7696322E-2</v>
      </c>
      <c r="L2145" s="40">
        <v>1.9592313249999997</v>
      </c>
    </row>
    <row r="2146" spans="1:12" hidden="1">
      <c r="A2146" s="37" t="s">
        <v>2967</v>
      </c>
      <c r="B2146" s="37"/>
      <c r="C2146" s="37" t="s">
        <v>1454</v>
      </c>
      <c r="D2146" s="64">
        <v>11122</v>
      </c>
      <c r="E2146" s="38">
        <v>2.82</v>
      </c>
      <c r="F2146" s="39">
        <v>1.2211064</v>
      </c>
      <c r="G2146" s="38">
        <v>0.27815770000000001</v>
      </c>
      <c r="H2146" s="38">
        <v>0.17709348</v>
      </c>
      <c r="I2146" s="38">
        <v>0.20409082000000001</v>
      </c>
      <c r="J2146" s="38">
        <v>3.9976882999999998E-2</v>
      </c>
      <c r="K2146" s="38">
        <v>1.7696322E-2</v>
      </c>
      <c r="L2146" s="40">
        <v>1.9381216049999999</v>
      </c>
    </row>
    <row r="2147" spans="1:12" hidden="1">
      <c r="A2147" s="41" t="s">
        <v>2968</v>
      </c>
      <c r="B2147" s="41"/>
      <c r="C2147" s="41" t="s">
        <v>1454</v>
      </c>
      <c r="D2147" s="65">
        <v>11163</v>
      </c>
      <c r="E2147" s="42">
        <v>2.78</v>
      </c>
      <c r="F2147" s="43">
        <v>0.17245766000000001</v>
      </c>
      <c r="G2147" s="42">
        <v>0.28702062</v>
      </c>
      <c r="H2147" s="42">
        <v>0.25161544000000002</v>
      </c>
      <c r="I2147" s="42">
        <v>0.24812550999999999</v>
      </c>
      <c r="J2147" s="42">
        <v>3.9976882999999998E-2</v>
      </c>
      <c r="K2147" s="42">
        <v>1.7696322E-2</v>
      </c>
      <c r="L2147" s="44">
        <v>1.0168924349999999</v>
      </c>
    </row>
    <row r="2148" spans="1:12" hidden="1">
      <c r="A2148" s="37" t="s">
        <v>2969</v>
      </c>
      <c r="B2148" s="37"/>
      <c r="C2148" s="37" t="s">
        <v>1454</v>
      </c>
      <c r="D2148" s="64">
        <v>11168</v>
      </c>
      <c r="E2148" s="38">
        <v>2.4900000000000002</v>
      </c>
      <c r="F2148" s="39">
        <v>0.64180128000000003</v>
      </c>
      <c r="G2148" s="38">
        <v>0.22328972</v>
      </c>
      <c r="H2148" s="38">
        <v>0.17709348</v>
      </c>
      <c r="I2148" s="38">
        <v>0.32398424999999997</v>
      </c>
      <c r="J2148" s="38">
        <v>3.9976882999999998E-2</v>
      </c>
      <c r="K2148" s="38">
        <v>6.6736979E-3</v>
      </c>
      <c r="L2148" s="40">
        <v>1.4128193109</v>
      </c>
    </row>
    <row r="2149" spans="1:12" hidden="1">
      <c r="A2149" s="37" t="s">
        <v>2970</v>
      </c>
      <c r="B2149" s="37"/>
      <c r="C2149" s="37" t="s">
        <v>1454</v>
      </c>
      <c r="D2149" s="64">
        <v>11167</v>
      </c>
      <c r="E2149" s="38">
        <v>2.11</v>
      </c>
      <c r="F2149" s="39">
        <v>2.2325024999999998</v>
      </c>
      <c r="G2149" s="38">
        <v>0.87020509000000001</v>
      </c>
      <c r="H2149" s="38">
        <v>0.17714754999999999</v>
      </c>
      <c r="I2149" s="38">
        <v>0.21198517</v>
      </c>
      <c r="J2149" s="38">
        <v>3.9976882999999998E-2</v>
      </c>
      <c r="K2149" s="38">
        <v>6.6736979E-3</v>
      </c>
      <c r="L2149" s="40">
        <v>3.5384908908999999</v>
      </c>
    </row>
    <row r="2150" spans="1:12" hidden="1">
      <c r="A2150" s="37" t="s">
        <v>2971</v>
      </c>
      <c r="B2150" s="37"/>
      <c r="C2150" s="37" t="s">
        <v>1454</v>
      </c>
      <c r="D2150" s="64">
        <v>11111</v>
      </c>
      <c r="E2150" s="38">
        <v>2.1800000000000002</v>
      </c>
      <c r="F2150" s="39">
        <v>2.2325024999999998</v>
      </c>
      <c r="G2150" s="38">
        <v>0.87020509000000001</v>
      </c>
      <c r="H2150" s="38">
        <v>0.17714754999999999</v>
      </c>
      <c r="I2150" s="38">
        <v>0.21198517</v>
      </c>
      <c r="J2150" s="38">
        <v>3.9976882999999998E-2</v>
      </c>
      <c r="K2150" s="38">
        <v>1.7696322E-2</v>
      </c>
      <c r="L2150" s="40">
        <v>3.5495135149999997</v>
      </c>
    </row>
    <row r="2151" spans="1:12" hidden="1">
      <c r="A2151" s="41" t="s">
        <v>2972</v>
      </c>
      <c r="B2151" s="41"/>
      <c r="C2151" s="41" t="s">
        <v>1454</v>
      </c>
      <c r="D2151" s="65">
        <v>11140</v>
      </c>
      <c r="E2151" s="42">
        <v>2.1800000000000002</v>
      </c>
      <c r="F2151" s="43">
        <v>3.5974512000000001</v>
      </c>
      <c r="G2151" s="42">
        <v>0.20487974</v>
      </c>
      <c r="H2151" s="42">
        <v>0.22677479</v>
      </c>
      <c r="I2151" s="42">
        <v>0.24188146999999999</v>
      </c>
      <c r="J2151" s="42">
        <v>3.9976882999999998E-2</v>
      </c>
      <c r="K2151" s="42">
        <v>1.7696322E-2</v>
      </c>
      <c r="L2151" s="44">
        <v>4.3286604049999999</v>
      </c>
    </row>
    <row r="2152" spans="1:12" hidden="1">
      <c r="A2152" s="41" t="s">
        <v>2973</v>
      </c>
      <c r="B2152" s="41"/>
      <c r="C2152" s="41" t="s">
        <v>1454</v>
      </c>
      <c r="D2152" s="65">
        <v>11158</v>
      </c>
      <c r="E2152" s="42">
        <v>2.1800000000000002</v>
      </c>
      <c r="F2152" s="43">
        <v>3.5974512000000001</v>
      </c>
      <c r="G2152" s="42">
        <v>0.20487974</v>
      </c>
      <c r="H2152" s="42">
        <v>0.22677479</v>
      </c>
      <c r="I2152" s="42">
        <v>0.24188146999999999</v>
      </c>
      <c r="J2152" s="42">
        <v>3.9976882999999998E-2</v>
      </c>
      <c r="K2152" s="42">
        <v>1.7696322E-2</v>
      </c>
      <c r="L2152" s="44">
        <v>4.3286604049999999</v>
      </c>
    </row>
    <row r="2153" spans="1:12" hidden="1">
      <c r="A2153" s="37" t="s">
        <v>2974</v>
      </c>
      <c r="B2153" s="37"/>
      <c r="C2153" s="37" t="s">
        <v>1454</v>
      </c>
      <c r="D2153" s="64">
        <v>11300</v>
      </c>
      <c r="E2153" s="38">
        <v>2.16</v>
      </c>
      <c r="F2153" s="39">
        <v>5.4519723000000004</v>
      </c>
      <c r="G2153" s="38">
        <v>0.33710498</v>
      </c>
      <c r="H2153" s="38">
        <v>0.17709348</v>
      </c>
      <c r="I2153" s="38">
        <v>0.20644066</v>
      </c>
      <c r="J2153" s="38">
        <v>1.9437894000000001E-2</v>
      </c>
      <c r="K2153" s="38">
        <v>0</v>
      </c>
      <c r="L2153" s="40">
        <v>6.192049314000001</v>
      </c>
    </row>
    <row r="2154" spans="1:12" hidden="1">
      <c r="A2154" s="37" t="s">
        <v>2975</v>
      </c>
      <c r="B2154" s="37"/>
      <c r="C2154" s="37" t="s">
        <v>1454</v>
      </c>
      <c r="D2154" s="64">
        <v>11132</v>
      </c>
      <c r="E2154" s="38">
        <v>2.84</v>
      </c>
      <c r="F2154" s="39">
        <v>9.9871755000000006E-2</v>
      </c>
      <c r="G2154" s="38">
        <v>0.24752486000000001</v>
      </c>
      <c r="H2154" s="38">
        <v>0.17710295000000001</v>
      </c>
      <c r="I2154" s="38">
        <v>0.21513550000000001</v>
      </c>
      <c r="J2154" s="38">
        <v>3.9976882999999998E-2</v>
      </c>
      <c r="K2154" s="38">
        <v>1.7696322E-2</v>
      </c>
      <c r="L2154" s="40">
        <v>0.79730827000000015</v>
      </c>
    </row>
    <row r="2155" spans="1:12" hidden="1">
      <c r="A2155" s="37" t="s">
        <v>2976</v>
      </c>
      <c r="B2155" s="37"/>
      <c r="C2155" s="37" t="s">
        <v>1454</v>
      </c>
      <c r="D2155" s="64">
        <v>11189</v>
      </c>
      <c r="E2155" s="38">
        <v>1.76</v>
      </c>
      <c r="F2155" s="39">
        <v>3.072562</v>
      </c>
      <c r="G2155" s="38">
        <v>0.34321393</v>
      </c>
      <c r="H2155" s="38">
        <v>0.17709348</v>
      </c>
      <c r="I2155" s="38">
        <v>0.22231650999999999</v>
      </c>
      <c r="J2155" s="38">
        <v>3.9976882999999998E-2</v>
      </c>
      <c r="K2155" s="38">
        <v>1.7696322E-2</v>
      </c>
      <c r="L2155" s="40">
        <v>3.8728591250000002</v>
      </c>
    </row>
    <row r="2156" spans="1:12" hidden="1">
      <c r="A2156" s="37" t="s">
        <v>2977</v>
      </c>
      <c r="B2156" s="37"/>
      <c r="C2156" s="37" t="s">
        <v>1454</v>
      </c>
      <c r="D2156" s="64">
        <v>11115</v>
      </c>
      <c r="E2156" s="38">
        <v>2.21</v>
      </c>
      <c r="F2156" s="39">
        <v>0.42543141000000001</v>
      </c>
      <c r="G2156" s="38">
        <v>0.24974948</v>
      </c>
      <c r="H2156" s="38">
        <v>0.17709348</v>
      </c>
      <c r="I2156" s="38">
        <v>0.20263890000000001</v>
      </c>
      <c r="J2156" s="38">
        <v>3.9976882999999998E-2</v>
      </c>
      <c r="K2156" s="38">
        <v>1.7696322E-2</v>
      </c>
      <c r="L2156" s="40">
        <v>1.1125864750000001</v>
      </c>
    </row>
    <row r="2157" spans="1:12" hidden="1">
      <c r="A2157" s="41" t="s">
        <v>2978</v>
      </c>
      <c r="B2157" s="41"/>
      <c r="C2157" s="41" t="s">
        <v>1454</v>
      </c>
      <c r="D2157" s="65">
        <v>11182</v>
      </c>
      <c r="E2157" s="42">
        <v>2.21</v>
      </c>
      <c r="F2157" s="43">
        <v>0.85086282999999996</v>
      </c>
      <c r="G2157" s="42">
        <v>0.34627279</v>
      </c>
      <c r="H2157" s="42">
        <v>0.17709348</v>
      </c>
      <c r="I2157" s="42">
        <v>0.20699007999999999</v>
      </c>
      <c r="J2157" s="42">
        <v>3.9976882999999998E-2</v>
      </c>
      <c r="K2157" s="42">
        <v>1.7696322E-2</v>
      </c>
      <c r="L2157" s="44">
        <v>1.6388923849999999</v>
      </c>
    </row>
    <row r="2158" spans="1:12" hidden="1">
      <c r="A2158" s="41" t="s">
        <v>2979</v>
      </c>
      <c r="B2158" s="41"/>
      <c r="C2158" s="41" t="s">
        <v>1454</v>
      </c>
      <c r="D2158" s="65">
        <v>11212</v>
      </c>
      <c r="E2158" s="42">
        <v>2.14</v>
      </c>
      <c r="F2158" s="43">
        <v>0.85086282999999996</v>
      </c>
      <c r="G2158" s="42">
        <v>0.34627279</v>
      </c>
      <c r="H2158" s="42">
        <v>0.17709348</v>
      </c>
      <c r="I2158" s="42">
        <v>0.20699007999999999</v>
      </c>
      <c r="J2158" s="42">
        <v>3.9976882999999998E-2</v>
      </c>
      <c r="K2158" s="42">
        <v>6.6736979E-3</v>
      </c>
      <c r="L2158" s="44">
        <v>1.6278697608999999</v>
      </c>
    </row>
    <row r="2159" spans="1:12" hidden="1">
      <c r="A2159" s="41" t="s">
        <v>2980</v>
      </c>
      <c r="B2159" s="41"/>
      <c r="C2159" s="41" t="s">
        <v>1454</v>
      </c>
      <c r="D2159" s="65">
        <v>11191</v>
      </c>
      <c r="E2159" s="42">
        <v>2.98</v>
      </c>
      <c r="F2159" s="43">
        <v>3.5974512000000001</v>
      </c>
      <c r="G2159" s="42">
        <v>0.20487974</v>
      </c>
      <c r="H2159" s="42">
        <v>0.22677479</v>
      </c>
      <c r="I2159" s="42">
        <v>0.24188146999999999</v>
      </c>
      <c r="J2159" s="42">
        <v>3.9976882999999998E-2</v>
      </c>
      <c r="K2159" s="42">
        <v>1.7696322E-2</v>
      </c>
      <c r="L2159" s="44">
        <v>4.3286604049999999</v>
      </c>
    </row>
    <row r="2160" spans="1:12" hidden="1">
      <c r="A2160" s="41" t="s">
        <v>2981</v>
      </c>
      <c r="B2160" s="41"/>
      <c r="C2160" s="41" t="s">
        <v>1454</v>
      </c>
      <c r="D2160" s="65">
        <v>11164</v>
      </c>
      <c r="E2160" s="42">
        <v>2.35</v>
      </c>
      <c r="F2160" s="43">
        <v>0.53116235000000001</v>
      </c>
      <c r="G2160" s="42">
        <v>0.27990482999999999</v>
      </c>
      <c r="H2160" s="42">
        <v>0.64596083999999998</v>
      </c>
      <c r="I2160" s="42">
        <v>0.23831035</v>
      </c>
      <c r="J2160" s="42">
        <v>3.9976882999999998E-2</v>
      </c>
      <c r="K2160" s="42">
        <v>1.7696322E-2</v>
      </c>
      <c r="L2160" s="44">
        <v>1.7530115749999999</v>
      </c>
    </row>
    <row r="2161" spans="1:12" hidden="1">
      <c r="A2161" s="41" t="s">
        <v>2982</v>
      </c>
      <c r="B2161" s="41"/>
      <c r="C2161" s="41" t="s">
        <v>1454</v>
      </c>
      <c r="D2161" s="65">
        <v>11166</v>
      </c>
      <c r="E2161" s="42">
        <v>1.8</v>
      </c>
      <c r="F2161" s="43">
        <v>0.81198254000000003</v>
      </c>
      <c r="G2161" s="42">
        <v>0.18562729</v>
      </c>
      <c r="H2161" s="42">
        <v>0.17709348</v>
      </c>
      <c r="I2161" s="42">
        <v>0.23543676999999999</v>
      </c>
      <c r="J2161" s="42">
        <v>3.9976882999999998E-2</v>
      </c>
      <c r="K2161" s="42">
        <v>6.6736979E-3</v>
      </c>
      <c r="L2161" s="44">
        <v>1.4567906608999999</v>
      </c>
    </row>
    <row r="2162" spans="1:12" hidden="1">
      <c r="A2162" s="37" t="s">
        <v>2983</v>
      </c>
      <c r="B2162" s="37"/>
      <c r="C2162" s="37" t="s">
        <v>1454</v>
      </c>
      <c r="D2162" s="64">
        <v>11192</v>
      </c>
      <c r="E2162" s="38">
        <v>2.68</v>
      </c>
      <c r="F2162" s="39">
        <v>3.4043437999999999</v>
      </c>
      <c r="G2162" s="38">
        <v>0.22363648</v>
      </c>
      <c r="H2162" s="38">
        <v>0.17709348</v>
      </c>
      <c r="I2162" s="38">
        <v>0.23125030999999999</v>
      </c>
      <c r="J2162" s="38">
        <v>3.9976882999999998E-2</v>
      </c>
      <c r="K2162" s="38">
        <v>1.7696322E-2</v>
      </c>
      <c r="L2162" s="40">
        <v>4.0939972749999995</v>
      </c>
    </row>
    <row r="2163" spans="1:12" hidden="1">
      <c r="A2163" s="37" t="s">
        <v>2984</v>
      </c>
      <c r="B2163" s="37"/>
      <c r="C2163" s="37" t="s">
        <v>1454</v>
      </c>
      <c r="D2163" s="64">
        <v>11160</v>
      </c>
      <c r="E2163" s="38">
        <v>2.21</v>
      </c>
      <c r="F2163" s="39">
        <v>3.1457638999999999</v>
      </c>
      <c r="G2163" s="38">
        <v>0.20800661000000001</v>
      </c>
      <c r="H2163" s="38">
        <v>0.17709348</v>
      </c>
      <c r="I2163" s="38">
        <v>0.23111825999999999</v>
      </c>
      <c r="J2163" s="38">
        <v>3.9976882999999998E-2</v>
      </c>
      <c r="K2163" s="38">
        <v>1.7696322E-2</v>
      </c>
      <c r="L2163" s="40">
        <v>3.8196554549999999</v>
      </c>
    </row>
    <row r="2164" spans="1:12" hidden="1">
      <c r="A2164" s="37" t="s">
        <v>2985</v>
      </c>
      <c r="B2164" s="37"/>
      <c r="C2164" s="37" t="s">
        <v>1454</v>
      </c>
      <c r="D2164" s="64">
        <v>11100</v>
      </c>
      <c r="E2164" s="38">
        <v>2.25</v>
      </c>
      <c r="F2164" s="39">
        <v>0.47982489</v>
      </c>
      <c r="G2164" s="38">
        <v>0.21355579</v>
      </c>
      <c r="H2164" s="38">
        <v>0.25809368999999999</v>
      </c>
      <c r="I2164" s="38">
        <v>0.25794771999999999</v>
      </c>
      <c r="J2164" s="38">
        <v>3.9976882999999998E-2</v>
      </c>
      <c r="K2164" s="38">
        <v>6.6736979E-3</v>
      </c>
      <c r="L2164" s="40">
        <v>1.2560726708999999</v>
      </c>
    </row>
    <row r="2165" spans="1:12" hidden="1">
      <c r="A2165" s="37" t="s">
        <v>2986</v>
      </c>
      <c r="B2165" s="37"/>
      <c r="C2165" s="37" t="s">
        <v>1454</v>
      </c>
      <c r="D2165" s="64">
        <v>11170</v>
      </c>
      <c r="E2165" s="38">
        <v>2.78</v>
      </c>
      <c r="F2165" s="39">
        <v>0.39065147</v>
      </c>
      <c r="G2165" s="38">
        <v>0.17652868999999999</v>
      </c>
      <c r="H2165" s="38">
        <v>0.17709348</v>
      </c>
      <c r="I2165" s="38">
        <v>0.28207710000000003</v>
      </c>
      <c r="J2165" s="38">
        <v>3.9976882999999998E-2</v>
      </c>
      <c r="K2165" s="38">
        <v>1.7696322E-2</v>
      </c>
      <c r="L2165" s="40">
        <v>1.084023945</v>
      </c>
    </row>
    <row r="2166" spans="1:12" hidden="1">
      <c r="A2166" s="37" t="s">
        <v>2987</v>
      </c>
      <c r="B2166" s="37"/>
      <c r="C2166" s="37" t="s">
        <v>1454</v>
      </c>
      <c r="D2166" s="64">
        <v>11102</v>
      </c>
      <c r="E2166" s="38">
        <v>2.1800000000000002</v>
      </c>
      <c r="F2166" s="39">
        <v>4.2121307999999997</v>
      </c>
      <c r="G2166" s="38">
        <v>0.21529641999999999</v>
      </c>
      <c r="H2166" s="38">
        <v>0.28328727999999997</v>
      </c>
      <c r="I2166" s="38">
        <v>0.24596124999999999</v>
      </c>
      <c r="J2166" s="38">
        <v>3.9976882999999998E-2</v>
      </c>
      <c r="K2166" s="38">
        <v>1.7696322E-2</v>
      </c>
      <c r="L2166" s="40">
        <v>5.0143489549999982</v>
      </c>
    </row>
    <row r="2167" spans="1:12" hidden="1">
      <c r="A2167" s="37" t="s">
        <v>2988</v>
      </c>
      <c r="B2167" s="37"/>
      <c r="C2167" s="37" t="s">
        <v>1454</v>
      </c>
      <c r="D2167" s="64">
        <v>11143</v>
      </c>
      <c r="E2167" s="38">
        <v>1.87</v>
      </c>
      <c r="F2167" s="39">
        <v>1.4184161</v>
      </c>
      <c r="G2167" s="38">
        <v>0.16988733</v>
      </c>
      <c r="H2167" s="38">
        <v>0.17710699999999999</v>
      </c>
      <c r="I2167" s="38">
        <v>0.21848624999999999</v>
      </c>
      <c r="J2167" s="38">
        <v>3.9976882999999998E-2</v>
      </c>
      <c r="K2167" s="38">
        <v>1.7696322E-2</v>
      </c>
      <c r="L2167" s="40">
        <v>2.0415698849999995</v>
      </c>
    </row>
    <row r="2168" spans="1:12" hidden="1">
      <c r="A2168" s="37" t="s">
        <v>2989</v>
      </c>
      <c r="B2168" s="37"/>
      <c r="C2168" s="37" t="s">
        <v>1454</v>
      </c>
      <c r="D2168" s="64">
        <v>11101</v>
      </c>
      <c r="E2168" s="38">
        <v>1.87</v>
      </c>
      <c r="F2168" s="39">
        <v>1.4184161</v>
      </c>
      <c r="G2168" s="38">
        <v>0.16988733</v>
      </c>
      <c r="H2168" s="38">
        <v>0.17710699999999999</v>
      </c>
      <c r="I2168" s="38">
        <v>0.21848624999999999</v>
      </c>
      <c r="J2168" s="38">
        <v>3.9976882999999998E-2</v>
      </c>
      <c r="K2168" s="38">
        <v>1.7696322E-2</v>
      </c>
      <c r="L2168" s="40">
        <v>2.0415698849999995</v>
      </c>
    </row>
    <row r="2169" spans="1:12" hidden="1">
      <c r="A2169" s="37" t="s">
        <v>2990</v>
      </c>
      <c r="B2169" s="37"/>
      <c r="C2169" s="37" t="s">
        <v>1454</v>
      </c>
      <c r="D2169" s="64">
        <v>11120</v>
      </c>
      <c r="E2169" s="38">
        <v>2.11</v>
      </c>
      <c r="F2169" s="39">
        <v>1.6255176</v>
      </c>
      <c r="G2169" s="38">
        <v>0.25924128000000002</v>
      </c>
      <c r="H2169" s="38">
        <v>0.60621579000000003</v>
      </c>
      <c r="I2169" s="38">
        <v>0.24424523000000001</v>
      </c>
      <c r="J2169" s="38">
        <v>3.9976882999999998E-2</v>
      </c>
      <c r="K2169" s="38">
        <v>6.6736979E-3</v>
      </c>
      <c r="L2169" s="40">
        <v>2.7818704809000003</v>
      </c>
    </row>
    <row r="2170" spans="1:12" hidden="1">
      <c r="A2170" s="37" t="s">
        <v>2991</v>
      </c>
      <c r="B2170" s="37"/>
      <c r="C2170" s="37" t="s">
        <v>1454</v>
      </c>
      <c r="D2170" s="64">
        <v>11196</v>
      </c>
      <c r="E2170" s="38">
        <v>3.35</v>
      </c>
      <c r="F2170" s="39">
        <v>0.69545095000000001</v>
      </c>
      <c r="G2170" s="38">
        <v>1.1859248</v>
      </c>
      <c r="H2170" s="38">
        <v>0.23981466000000001</v>
      </c>
      <c r="I2170" s="38">
        <v>0.36528991</v>
      </c>
      <c r="J2170" s="38">
        <v>3.9976882999999998E-2</v>
      </c>
      <c r="K2170" s="38">
        <v>6.6736979E-3</v>
      </c>
      <c r="L2170" s="40">
        <v>2.5331309009000003</v>
      </c>
    </row>
    <row r="2171" spans="1:12" hidden="1">
      <c r="A2171" s="37" t="s">
        <v>2992</v>
      </c>
      <c r="B2171" s="37"/>
      <c r="C2171" s="37" t="s">
        <v>1454</v>
      </c>
      <c r="D2171" s="64">
        <v>11128</v>
      </c>
      <c r="E2171" s="38">
        <v>1.92</v>
      </c>
      <c r="F2171" s="39">
        <v>3.9907485</v>
      </c>
      <c r="G2171" s="38">
        <v>0.4063001</v>
      </c>
      <c r="H2171" s="38">
        <v>0.17709348</v>
      </c>
      <c r="I2171" s="38">
        <v>0.21291009</v>
      </c>
      <c r="J2171" s="38">
        <v>3.9976882999999998E-2</v>
      </c>
      <c r="K2171" s="38">
        <v>1.7696322E-2</v>
      </c>
      <c r="L2171" s="40">
        <v>4.8447253749999994</v>
      </c>
    </row>
    <row r="2172" spans="1:12" hidden="1">
      <c r="A2172" s="37" t="s">
        <v>2993</v>
      </c>
      <c r="B2172" s="37"/>
      <c r="C2172" s="37" t="s">
        <v>1454</v>
      </c>
      <c r="D2172" s="64">
        <v>11129</v>
      </c>
      <c r="E2172" s="38">
        <v>2.21</v>
      </c>
      <c r="F2172" s="39">
        <v>1.5788774000000001</v>
      </c>
      <c r="G2172" s="38">
        <v>0.17641409</v>
      </c>
      <c r="H2172" s="38">
        <v>0.17709348</v>
      </c>
      <c r="I2172" s="38">
        <v>0.22317423</v>
      </c>
      <c r="J2172" s="38">
        <v>3.9976882999999998E-2</v>
      </c>
      <c r="K2172" s="38">
        <v>1.7696322E-2</v>
      </c>
      <c r="L2172" s="40">
        <v>2.2132324049999998</v>
      </c>
    </row>
    <row r="2173" spans="1:12" hidden="1">
      <c r="A2173" s="41" t="s">
        <v>2994</v>
      </c>
      <c r="B2173" s="41"/>
      <c r="C2173" s="41" t="s">
        <v>1454</v>
      </c>
      <c r="D2173" s="65">
        <v>11198</v>
      </c>
      <c r="E2173" s="42">
        <v>3.35</v>
      </c>
      <c r="F2173" s="43">
        <v>0.69545095000000001</v>
      </c>
      <c r="G2173" s="42">
        <v>1.1859248</v>
      </c>
      <c r="H2173" s="42">
        <v>0.23981466000000001</v>
      </c>
      <c r="I2173" s="42">
        <v>0.36528991</v>
      </c>
      <c r="J2173" s="42">
        <v>3.9976882999999998E-2</v>
      </c>
      <c r="K2173" s="42">
        <v>6.6736979E-3</v>
      </c>
      <c r="L2173" s="44">
        <v>2.5331309009000003</v>
      </c>
    </row>
    <row r="2174" spans="1:12" hidden="1">
      <c r="A2174" s="41" t="s">
        <v>2995</v>
      </c>
      <c r="B2174" s="41"/>
      <c r="C2174" s="41" t="s">
        <v>1454</v>
      </c>
      <c r="D2174" s="65">
        <v>11187</v>
      </c>
      <c r="E2174" s="42">
        <v>3.35</v>
      </c>
      <c r="F2174" s="43">
        <v>0.69545095000000001</v>
      </c>
      <c r="G2174" s="42">
        <v>1.1859248</v>
      </c>
      <c r="H2174" s="42">
        <v>0.23981466000000001</v>
      </c>
      <c r="I2174" s="42">
        <v>0.36528991</v>
      </c>
      <c r="J2174" s="42">
        <v>3.9976882999999998E-2</v>
      </c>
      <c r="K2174" s="42">
        <v>6.6736979E-3</v>
      </c>
      <c r="L2174" s="44">
        <v>2.5331309009000003</v>
      </c>
    </row>
    <row r="2175" spans="1:12" hidden="1">
      <c r="A2175" s="37" t="s">
        <v>2996</v>
      </c>
      <c r="B2175" s="37"/>
      <c r="C2175" s="37" t="s">
        <v>1454</v>
      </c>
      <c r="D2175" s="64">
        <v>11199</v>
      </c>
      <c r="E2175" s="38">
        <v>2.58</v>
      </c>
      <c r="F2175" s="39">
        <v>1.6255176</v>
      </c>
      <c r="G2175" s="38">
        <v>0.25924128000000002</v>
      </c>
      <c r="H2175" s="38">
        <v>0.60621579000000003</v>
      </c>
      <c r="I2175" s="38">
        <v>0.24424523000000001</v>
      </c>
      <c r="J2175" s="38">
        <v>3.9976882999999998E-2</v>
      </c>
      <c r="K2175" s="38">
        <v>1.7696322E-2</v>
      </c>
      <c r="L2175" s="40">
        <v>2.7928931050000001</v>
      </c>
    </row>
    <row r="2176" spans="1:12" hidden="1">
      <c r="A2176" s="37" t="s">
        <v>2997</v>
      </c>
      <c r="B2176" s="37"/>
      <c r="C2176" s="37" t="s">
        <v>1454</v>
      </c>
      <c r="D2176" s="64">
        <v>11105</v>
      </c>
      <c r="E2176" s="38">
        <v>2.2599999999999998</v>
      </c>
      <c r="F2176" s="39">
        <v>5.3903677999999999</v>
      </c>
      <c r="G2176" s="38">
        <v>0.20535697</v>
      </c>
      <c r="H2176" s="38">
        <v>0.17709348</v>
      </c>
      <c r="I2176" s="38">
        <v>0.25156931999999999</v>
      </c>
      <c r="J2176" s="38">
        <v>3.9976882999999998E-2</v>
      </c>
      <c r="K2176" s="38">
        <v>1.7696322E-2</v>
      </c>
      <c r="L2176" s="40">
        <v>6.0820607749999995</v>
      </c>
    </row>
    <row r="2177" spans="1:12" hidden="1">
      <c r="A2177" s="37" t="s">
        <v>2998</v>
      </c>
      <c r="B2177" s="37"/>
      <c r="C2177" s="37" t="s">
        <v>1454</v>
      </c>
      <c r="D2177" s="64">
        <v>11202</v>
      </c>
      <c r="E2177" s="38">
        <v>2.75</v>
      </c>
      <c r="F2177" s="39">
        <v>0.52271266999999999</v>
      </c>
      <c r="G2177" s="38">
        <v>0.25246352</v>
      </c>
      <c r="H2177" s="38">
        <v>0.17709348</v>
      </c>
      <c r="I2177" s="38">
        <v>0.25624860999999999</v>
      </c>
      <c r="J2177" s="38">
        <v>3.9976882999999998E-2</v>
      </c>
      <c r="K2177" s="38">
        <v>1.7696322E-2</v>
      </c>
      <c r="L2177" s="40">
        <v>1.266191485</v>
      </c>
    </row>
    <row r="2178" spans="1:12" hidden="1">
      <c r="A2178" s="37" t="s">
        <v>2999</v>
      </c>
      <c r="B2178" s="37"/>
      <c r="C2178" s="37" t="s">
        <v>1454</v>
      </c>
      <c r="D2178" s="64">
        <v>11203</v>
      </c>
      <c r="E2178" s="38">
        <v>2.72</v>
      </c>
      <c r="F2178" s="39">
        <v>1.0133669000000001</v>
      </c>
      <c r="G2178" s="38">
        <v>0.36612453</v>
      </c>
      <c r="H2178" s="38">
        <v>0.17709348</v>
      </c>
      <c r="I2178" s="38">
        <v>0.23138576</v>
      </c>
      <c r="J2178" s="38">
        <v>3.9976882999999998E-2</v>
      </c>
      <c r="K2178" s="38">
        <v>6.6736979E-3</v>
      </c>
      <c r="L2178" s="40">
        <v>1.8346212508999999</v>
      </c>
    </row>
    <row r="2179" spans="1:12" hidden="1">
      <c r="A2179" s="37" t="s">
        <v>3000</v>
      </c>
      <c r="B2179" s="37"/>
      <c r="C2179" s="37" t="s">
        <v>1454</v>
      </c>
      <c r="D2179" s="64">
        <v>11121</v>
      </c>
      <c r="E2179" s="38">
        <v>1.96</v>
      </c>
      <c r="F2179" s="39">
        <v>4.2821343000000001</v>
      </c>
      <c r="G2179" s="38">
        <v>0.18733356000000001</v>
      </c>
      <c r="H2179" s="38">
        <v>0.17709348</v>
      </c>
      <c r="I2179" s="38">
        <v>0.21628364999999999</v>
      </c>
      <c r="J2179" s="38">
        <v>3.9976882999999998E-2</v>
      </c>
      <c r="K2179" s="38">
        <v>1.7696322E-2</v>
      </c>
      <c r="L2179" s="40">
        <v>4.9205181949999997</v>
      </c>
    </row>
    <row r="2180" spans="1:12" hidden="1">
      <c r="A2180" s="37" t="s">
        <v>3001</v>
      </c>
      <c r="B2180" s="37"/>
      <c r="C2180" s="37" t="s">
        <v>1454</v>
      </c>
      <c r="D2180" s="64">
        <v>11157</v>
      </c>
      <c r="E2180" s="38">
        <v>2.64</v>
      </c>
      <c r="F2180" s="39">
        <v>1.2032966</v>
      </c>
      <c r="G2180" s="38">
        <v>0.29295850000000001</v>
      </c>
      <c r="H2180" s="38">
        <v>0.18733335000000001</v>
      </c>
      <c r="I2180" s="38">
        <v>0.20861778</v>
      </c>
      <c r="J2180" s="38">
        <v>3.9976882999999998E-2</v>
      </c>
      <c r="K2180" s="38">
        <v>6.6736979E-3</v>
      </c>
      <c r="L2180" s="40">
        <v>1.9388568108999999</v>
      </c>
    </row>
    <row r="2181" spans="1:12" hidden="1">
      <c r="A2181" s="37" t="s">
        <v>3002</v>
      </c>
      <c r="B2181" s="37"/>
      <c r="C2181" s="37" t="s">
        <v>1454</v>
      </c>
      <c r="D2181" s="64">
        <v>11194</v>
      </c>
      <c r="E2181" s="38">
        <v>2</v>
      </c>
      <c r="F2181" s="39">
        <v>9.4463731999999995E-2</v>
      </c>
      <c r="G2181" s="38">
        <v>0.20221908</v>
      </c>
      <c r="H2181" s="38">
        <v>0.29073947</v>
      </c>
      <c r="I2181" s="38">
        <v>0.20891241999999999</v>
      </c>
      <c r="J2181" s="38">
        <v>3.9976882999999998E-2</v>
      </c>
      <c r="K2181" s="38">
        <v>6.6736979E-3</v>
      </c>
      <c r="L2181" s="40">
        <v>0.84298528290000008</v>
      </c>
    </row>
    <row r="2182" spans="1:12" hidden="1">
      <c r="A2182" s="41" t="s">
        <v>3003</v>
      </c>
      <c r="B2182" s="41"/>
      <c r="C2182" s="41" t="s">
        <v>1454</v>
      </c>
      <c r="D2182" s="65">
        <v>11210</v>
      </c>
      <c r="E2182" s="42">
        <v>3.09</v>
      </c>
      <c r="F2182" s="43">
        <v>1.7612196</v>
      </c>
      <c r="G2182" s="42">
        <v>0.30203732</v>
      </c>
      <c r="H2182" s="42">
        <v>0.17709348</v>
      </c>
      <c r="I2182" s="42">
        <v>0.26563676000000003</v>
      </c>
      <c r="J2182" s="42">
        <v>3.9976882999999998E-2</v>
      </c>
      <c r="K2182" s="42">
        <v>1.7696322E-2</v>
      </c>
      <c r="L2182" s="44">
        <v>2.5636603650000001</v>
      </c>
    </row>
    <row r="2183" spans="1:12" hidden="1">
      <c r="A2183" s="41" t="s">
        <v>3004</v>
      </c>
      <c r="B2183" s="41"/>
      <c r="C2183" s="41" t="s">
        <v>1454</v>
      </c>
      <c r="D2183" s="65">
        <v>11179</v>
      </c>
      <c r="E2183" s="42">
        <v>3.09</v>
      </c>
      <c r="F2183" s="43">
        <v>1.7612196</v>
      </c>
      <c r="G2183" s="42">
        <v>0.30203732</v>
      </c>
      <c r="H2183" s="42">
        <v>0.17709348</v>
      </c>
      <c r="I2183" s="42">
        <v>0.26563676000000003</v>
      </c>
      <c r="J2183" s="42">
        <v>3.9976882999999998E-2</v>
      </c>
      <c r="K2183" s="42">
        <v>1.7696322E-2</v>
      </c>
      <c r="L2183" s="44">
        <v>2.5636603650000001</v>
      </c>
    </row>
    <row r="2184" spans="1:12" hidden="1">
      <c r="A2184" s="37" t="s">
        <v>3005</v>
      </c>
      <c r="B2184" s="37"/>
      <c r="C2184" s="37" t="s">
        <v>1454</v>
      </c>
      <c r="D2184" s="64">
        <v>11205</v>
      </c>
      <c r="E2184" s="38">
        <v>2.92</v>
      </c>
      <c r="F2184" s="39">
        <v>0.63222814000000005</v>
      </c>
      <c r="G2184" s="38">
        <v>1.0781134000000001</v>
      </c>
      <c r="H2184" s="38">
        <v>0.22309599999999999</v>
      </c>
      <c r="I2184" s="38">
        <v>0.25447734999999999</v>
      </c>
      <c r="J2184" s="38">
        <v>1.5675970000000001E-2</v>
      </c>
      <c r="K2184" s="38">
        <v>0</v>
      </c>
      <c r="L2184" s="40">
        <v>2.2035908600000003</v>
      </c>
    </row>
    <row r="2185" spans="1:12" hidden="1">
      <c r="A2185" s="41" t="s">
        <v>3006</v>
      </c>
      <c r="B2185" s="41"/>
      <c r="C2185" s="41" t="s">
        <v>1454</v>
      </c>
      <c r="D2185" s="65">
        <v>11104</v>
      </c>
      <c r="E2185" s="42">
        <v>2.4900000000000002</v>
      </c>
      <c r="F2185" s="43">
        <v>0.15712944000000001</v>
      </c>
      <c r="G2185" s="42">
        <v>0.15729563999999999</v>
      </c>
      <c r="H2185" s="42">
        <v>0.17710935999999999</v>
      </c>
      <c r="I2185" s="42">
        <v>0.21430589</v>
      </c>
      <c r="J2185" s="42">
        <v>3.9976882999999998E-2</v>
      </c>
      <c r="K2185" s="42">
        <v>6.6736979E-3</v>
      </c>
      <c r="L2185" s="44">
        <v>0.75249091090000009</v>
      </c>
    </row>
    <row r="2186" spans="1:12" hidden="1">
      <c r="A2186" s="41" t="s">
        <v>3007</v>
      </c>
      <c r="B2186" s="41"/>
      <c r="C2186" s="41" t="s">
        <v>1454</v>
      </c>
      <c r="D2186" s="65">
        <v>11051</v>
      </c>
      <c r="E2186" s="42">
        <v>2.58</v>
      </c>
      <c r="F2186" s="43">
        <v>0.85086282999999996</v>
      </c>
      <c r="G2186" s="42">
        <v>0.34627279</v>
      </c>
      <c r="H2186" s="42">
        <v>0.17709348</v>
      </c>
      <c r="I2186" s="42">
        <v>0.20699007999999999</v>
      </c>
      <c r="J2186" s="42">
        <v>3.9976882999999998E-2</v>
      </c>
      <c r="K2186" s="42">
        <v>6.6736979E-3</v>
      </c>
      <c r="L2186" s="44">
        <v>1.6278697608999999</v>
      </c>
    </row>
    <row r="2187" spans="1:12" hidden="1">
      <c r="A2187" s="41" t="s">
        <v>3008</v>
      </c>
      <c r="B2187" s="41"/>
      <c r="C2187" s="41" t="s">
        <v>1454</v>
      </c>
      <c r="D2187" s="65">
        <v>11114</v>
      </c>
      <c r="E2187" s="42">
        <v>1.98</v>
      </c>
      <c r="F2187" s="43">
        <v>11.154757999999999</v>
      </c>
      <c r="G2187" s="42">
        <v>0.24624009000000002</v>
      </c>
      <c r="H2187" s="42">
        <v>0.17709348</v>
      </c>
      <c r="I2187" s="42">
        <v>0.24525174999999996</v>
      </c>
      <c r="J2187" s="42">
        <v>3.9976882999999998E-2</v>
      </c>
      <c r="K2187" s="42">
        <v>1.7696322E-2</v>
      </c>
      <c r="L2187" s="44">
        <v>11.881016525</v>
      </c>
    </row>
    <row r="2188" spans="1:12" hidden="1">
      <c r="A2188" s="41" t="s">
        <v>3009</v>
      </c>
      <c r="B2188" s="41"/>
      <c r="C2188" s="41" t="s">
        <v>1454</v>
      </c>
      <c r="D2188" s="65">
        <v>11208</v>
      </c>
      <c r="E2188" s="42">
        <v>2.93</v>
      </c>
      <c r="F2188" s="43">
        <v>0.53655048000000005</v>
      </c>
      <c r="G2188" s="42">
        <v>0.18899075000000001</v>
      </c>
      <c r="H2188" s="42">
        <v>0.17709348</v>
      </c>
      <c r="I2188" s="42">
        <v>0.27192485</v>
      </c>
      <c r="J2188" s="42">
        <v>3.9976882999999998E-2</v>
      </c>
      <c r="K2188" s="42">
        <v>1.7696322E-2</v>
      </c>
      <c r="L2188" s="44">
        <v>1.232232765</v>
      </c>
    </row>
    <row r="2189" spans="1:12" hidden="1">
      <c r="A2189" s="41" t="s">
        <v>3010</v>
      </c>
      <c r="B2189" s="41"/>
      <c r="C2189" s="41" t="s">
        <v>1454</v>
      </c>
      <c r="D2189" s="65">
        <v>11177</v>
      </c>
      <c r="E2189" s="42">
        <v>2.93</v>
      </c>
      <c r="F2189" s="43">
        <v>0.53974305</v>
      </c>
      <c r="G2189" s="42">
        <v>0.16771351000000001</v>
      </c>
      <c r="H2189" s="42">
        <v>0.17709348</v>
      </c>
      <c r="I2189" s="42">
        <v>0.27262964000000001</v>
      </c>
      <c r="J2189" s="42">
        <v>3.9976882999999998E-2</v>
      </c>
      <c r="K2189" s="42">
        <v>1.7696322E-2</v>
      </c>
      <c r="L2189" s="44">
        <v>1.214852885</v>
      </c>
    </row>
    <row r="2190" spans="1:12" hidden="1">
      <c r="A2190" s="41" t="s">
        <v>3011</v>
      </c>
      <c r="B2190" s="41"/>
      <c r="C2190" s="41" t="s">
        <v>1454</v>
      </c>
      <c r="D2190" s="65">
        <v>11107</v>
      </c>
      <c r="E2190" s="42">
        <v>2.78</v>
      </c>
      <c r="F2190" s="43">
        <v>0.23113781999999999</v>
      </c>
      <c r="G2190" s="42">
        <v>0.16771351000000001</v>
      </c>
      <c r="H2190" s="42">
        <v>0.17709348</v>
      </c>
      <c r="I2190" s="42">
        <v>0.27273022000000002</v>
      </c>
      <c r="J2190" s="42">
        <v>3.9976882999999998E-2</v>
      </c>
      <c r="K2190" s="42">
        <v>1.7696322E-2</v>
      </c>
      <c r="L2190" s="44">
        <v>0.90634823500000006</v>
      </c>
    </row>
    <row r="2191" spans="1:12" hidden="1">
      <c r="A2191" s="41" t="s">
        <v>3012</v>
      </c>
      <c r="B2191" s="41"/>
      <c r="C2191" s="41" t="s">
        <v>1454</v>
      </c>
      <c r="D2191" s="65">
        <v>11178</v>
      </c>
      <c r="E2191" s="42">
        <v>2.93</v>
      </c>
      <c r="F2191" s="43">
        <v>0.22576349000000001</v>
      </c>
      <c r="G2191" s="42">
        <v>0.16640183</v>
      </c>
      <c r="H2191" s="42">
        <v>0.17709348</v>
      </c>
      <c r="I2191" s="42">
        <v>0.27192485</v>
      </c>
      <c r="J2191" s="42">
        <v>3.9976882999999998E-2</v>
      </c>
      <c r="K2191" s="42">
        <v>1.7696322E-2</v>
      </c>
      <c r="L2191" s="44">
        <v>0.89885685500000012</v>
      </c>
    </row>
    <row r="2192" spans="1:12" hidden="1">
      <c r="A2192" s="41" t="s">
        <v>3013</v>
      </c>
      <c r="B2192" s="41"/>
      <c r="C2192" s="41" t="s">
        <v>1454</v>
      </c>
      <c r="D2192" s="65">
        <v>11207</v>
      </c>
      <c r="E2192" s="42">
        <v>2.78</v>
      </c>
      <c r="F2192" s="43">
        <v>0.25287376</v>
      </c>
      <c r="G2192" s="42">
        <v>0.17270463999999999</v>
      </c>
      <c r="H2192" s="42">
        <v>0.17709348</v>
      </c>
      <c r="I2192" s="42">
        <v>0.27439846000000001</v>
      </c>
      <c r="J2192" s="42">
        <v>3.9976882999999998E-2</v>
      </c>
      <c r="K2192" s="42">
        <v>1.7696322E-2</v>
      </c>
      <c r="L2192" s="44">
        <v>0.93474354500000012</v>
      </c>
    </row>
    <row r="2193" spans="1:12" hidden="1">
      <c r="A2193" s="41" t="s">
        <v>3014</v>
      </c>
      <c r="B2193" s="41"/>
      <c r="C2193" s="41" t="s">
        <v>1454</v>
      </c>
      <c r="D2193" s="65" t="s">
        <v>3015</v>
      </c>
      <c r="E2193" s="42">
        <v>2.2489188065437618</v>
      </c>
      <c r="F2193" s="43">
        <v>0.17612343999999999</v>
      </c>
      <c r="G2193" s="42">
        <v>0.45245503999999998</v>
      </c>
      <c r="H2193" s="42">
        <v>0.52557377000000005</v>
      </c>
      <c r="I2193" s="42">
        <v>0.18025267</v>
      </c>
      <c r="J2193" s="42">
        <v>1.9437894000000001E-2</v>
      </c>
      <c r="K2193" s="42">
        <v>0</v>
      </c>
      <c r="L2193" s="44">
        <v>1.3538428140000001</v>
      </c>
    </row>
    <row r="2194" spans="1:12" hidden="1">
      <c r="A2194" s="41" t="s">
        <v>3016</v>
      </c>
      <c r="B2194" s="41"/>
      <c r="C2194" s="41" t="s">
        <v>1454</v>
      </c>
      <c r="D2194" s="65">
        <v>11110</v>
      </c>
      <c r="E2194" s="42">
        <v>2.4900000000000002</v>
      </c>
      <c r="F2194" s="43">
        <v>0.41070408000000003</v>
      </c>
      <c r="G2194" s="42">
        <v>1.1003141000000001</v>
      </c>
      <c r="H2194" s="42">
        <v>0.34755557999999998</v>
      </c>
      <c r="I2194" s="42">
        <v>0.35332877000000001</v>
      </c>
      <c r="J2194" s="42">
        <v>3.9976882999999998E-2</v>
      </c>
      <c r="K2194" s="42">
        <v>6.6736979E-3</v>
      </c>
      <c r="L2194" s="44">
        <v>2.2585531109000003</v>
      </c>
    </row>
    <row r="2195" spans="1:12" hidden="1">
      <c r="A2195" s="41" t="s">
        <v>3017</v>
      </c>
      <c r="B2195" s="41"/>
      <c r="C2195" s="41" t="s">
        <v>631</v>
      </c>
      <c r="D2195" s="65">
        <v>30125</v>
      </c>
      <c r="E2195" s="42">
        <v>2.34</v>
      </c>
      <c r="F2195" s="43">
        <v>6.1548398999999998</v>
      </c>
      <c r="G2195" s="42">
        <v>0.79870878999999995</v>
      </c>
      <c r="H2195" s="42">
        <v>0.57245475000000001</v>
      </c>
      <c r="I2195" s="42">
        <v>0.20776511</v>
      </c>
      <c r="J2195" s="42">
        <v>3.7768032999999999E-2</v>
      </c>
      <c r="K2195" s="42">
        <v>9.2564276000000001E-2</v>
      </c>
      <c r="L2195" s="44">
        <v>7.8641008590000006</v>
      </c>
    </row>
    <row r="2196" spans="1:12" hidden="1">
      <c r="A2196" s="37" t="s">
        <v>3018</v>
      </c>
      <c r="B2196" s="37"/>
      <c r="C2196" s="37" t="s">
        <v>631</v>
      </c>
      <c r="D2196" s="64">
        <v>30746</v>
      </c>
      <c r="E2196" s="38">
        <v>2.3199999999999998</v>
      </c>
      <c r="F2196" s="39">
        <v>11.504432</v>
      </c>
      <c r="G2196" s="38">
        <v>0.39255229000000003</v>
      </c>
      <c r="H2196" s="38">
        <v>0.36438575000000001</v>
      </c>
      <c r="I2196" s="38">
        <v>0.20132982999999999</v>
      </c>
      <c r="J2196" s="38">
        <v>3.7768032999999999E-2</v>
      </c>
      <c r="K2196" s="38">
        <v>9.2564276000000001E-2</v>
      </c>
      <c r="L2196" s="40">
        <v>12.593032179</v>
      </c>
    </row>
    <row r="2197" spans="1:12" hidden="1">
      <c r="A2197" s="37" t="s">
        <v>3019</v>
      </c>
      <c r="B2197" s="37"/>
      <c r="C2197" s="37" t="s">
        <v>631</v>
      </c>
      <c r="D2197" s="64">
        <v>30766</v>
      </c>
      <c r="E2197" s="38">
        <v>2.4900000000000002</v>
      </c>
      <c r="F2197" s="39">
        <v>4.2802141999999996</v>
      </c>
      <c r="G2197" s="38">
        <v>0.25429740000000001</v>
      </c>
      <c r="H2197" s="38">
        <v>0.23263986</v>
      </c>
      <c r="I2197" s="38">
        <v>0.20244791000000001</v>
      </c>
      <c r="J2197" s="38">
        <v>3.7768032999999999E-2</v>
      </c>
      <c r="K2197" s="38">
        <v>9.2564276000000001E-2</v>
      </c>
      <c r="L2197" s="40">
        <v>5.099931679</v>
      </c>
    </row>
    <row r="2198" spans="1:12" hidden="1">
      <c r="A2198" s="37" t="s">
        <v>3020</v>
      </c>
      <c r="B2198" s="37"/>
      <c r="C2198" s="37" t="s">
        <v>631</v>
      </c>
      <c r="D2198" s="64">
        <v>30176</v>
      </c>
      <c r="E2198" s="38">
        <v>2.2799999999999998</v>
      </c>
      <c r="F2198" s="39">
        <v>9.6696133</v>
      </c>
      <c r="G2198" s="38">
        <v>0.24460338000000001</v>
      </c>
      <c r="H2198" s="38">
        <v>0.27727707000000001</v>
      </c>
      <c r="I2198" s="38">
        <v>0.19795918000000001</v>
      </c>
      <c r="J2198" s="38">
        <v>3.7768032999999999E-2</v>
      </c>
      <c r="K2198" s="38">
        <v>9.2564276000000001E-2</v>
      </c>
      <c r="L2198" s="40">
        <v>10.519785238999999</v>
      </c>
    </row>
    <row r="2199" spans="1:12" hidden="1">
      <c r="A2199" s="37" t="s">
        <v>3021</v>
      </c>
      <c r="B2199" s="37"/>
      <c r="C2199" s="37" t="s">
        <v>631</v>
      </c>
      <c r="D2199" s="64">
        <v>30134</v>
      </c>
      <c r="E2199" s="38">
        <v>2.4900000000000002</v>
      </c>
      <c r="F2199" s="39">
        <v>4.2802141999999996</v>
      </c>
      <c r="G2199" s="38">
        <v>0.25429740000000001</v>
      </c>
      <c r="H2199" s="38">
        <v>0.23263986</v>
      </c>
      <c r="I2199" s="38">
        <v>0.20244791000000001</v>
      </c>
      <c r="J2199" s="38">
        <v>3.7768032999999999E-2</v>
      </c>
      <c r="K2199" s="38">
        <v>9.2564276000000001E-2</v>
      </c>
      <c r="L2199" s="40">
        <v>5.099931679</v>
      </c>
    </row>
    <row r="2200" spans="1:12" hidden="1">
      <c r="A2200" s="37" t="s">
        <v>3022</v>
      </c>
      <c r="B2200" s="37"/>
      <c r="C2200" s="37" t="s">
        <v>631</v>
      </c>
      <c r="D2200" s="64">
        <v>30764</v>
      </c>
      <c r="E2200" s="38">
        <v>2.4900000000000002</v>
      </c>
      <c r="F2200" s="39">
        <v>4.2802141999999996</v>
      </c>
      <c r="G2200" s="38">
        <v>0.25429740000000001</v>
      </c>
      <c r="H2200" s="38">
        <v>0.23263986</v>
      </c>
      <c r="I2200" s="38">
        <v>0.20244791000000001</v>
      </c>
      <c r="J2200" s="38">
        <v>3.7768032999999999E-2</v>
      </c>
      <c r="K2200" s="38">
        <v>9.2564276000000001E-2</v>
      </c>
      <c r="L2200" s="40">
        <v>5.099931679</v>
      </c>
    </row>
    <row r="2201" spans="1:12" hidden="1">
      <c r="A2201" s="37" t="s">
        <v>3023</v>
      </c>
      <c r="B2201" s="37"/>
      <c r="C2201" s="37" t="s">
        <v>631</v>
      </c>
      <c r="D2201" s="64">
        <v>30105</v>
      </c>
      <c r="E2201" s="38">
        <v>2.79</v>
      </c>
      <c r="F2201" s="39">
        <v>6.1548398999999998</v>
      </c>
      <c r="G2201" s="38">
        <v>0.79870878999999995</v>
      </c>
      <c r="H2201" s="38">
        <v>0.57245475000000001</v>
      </c>
      <c r="I2201" s="38">
        <v>0.20776511</v>
      </c>
      <c r="J2201" s="38">
        <v>3.7768032999999999E-2</v>
      </c>
      <c r="K2201" s="38">
        <v>9.2564276000000001E-2</v>
      </c>
      <c r="L2201" s="40">
        <v>7.8641008590000006</v>
      </c>
    </row>
    <row r="2202" spans="1:12" hidden="1">
      <c r="A2202" s="37" t="s">
        <v>3024</v>
      </c>
      <c r="B2202" s="37"/>
      <c r="C2202" s="37" t="s">
        <v>631</v>
      </c>
      <c r="D2202" s="64">
        <v>30104</v>
      </c>
      <c r="E2202" s="38">
        <v>2.79</v>
      </c>
      <c r="F2202" s="39">
        <v>6.1548398999999998</v>
      </c>
      <c r="G2202" s="38">
        <v>0.79870878999999995</v>
      </c>
      <c r="H2202" s="38">
        <v>0.57245475000000001</v>
      </c>
      <c r="I2202" s="38">
        <v>0.20776511</v>
      </c>
      <c r="J2202" s="38">
        <v>3.7768032999999999E-2</v>
      </c>
      <c r="K2202" s="38">
        <v>9.2564276000000001E-2</v>
      </c>
      <c r="L2202" s="40">
        <v>7.8641008590000006</v>
      </c>
    </row>
    <row r="2203" spans="1:12" hidden="1">
      <c r="A2203" s="37" t="s">
        <v>3025</v>
      </c>
      <c r="B2203" s="37"/>
      <c r="C2203" s="37" t="s">
        <v>631</v>
      </c>
      <c r="D2203" s="64">
        <v>30108</v>
      </c>
      <c r="E2203" s="38">
        <v>2.79</v>
      </c>
      <c r="F2203" s="39">
        <v>6.1548398999999998</v>
      </c>
      <c r="G2203" s="38">
        <v>0.79870878999999995</v>
      </c>
      <c r="H2203" s="38">
        <v>0.57245475000000001</v>
      </c>
      <c r="I2203" s="38">
        <v>0.20776511</v>
      </c>
      <c r="J2203" s="38">
        <v>3.7768032999999999E-2</v>
      </c>
      <c r="K2203" s="38">
        <v>9.2564276000000001E-2</v>
      </c>
      <c r="L2203" s="40">
        <v>7.8641008590000006</v>
      </c>
    </row>
    <row r="2204" spans="1:12" hidden="1">
      <c r="A2204" s="41" t="s">
        <v>3026</v>
      </c>
      <c r="B2204" s="41"/>
      <c r="C2204" s="41" t="s">
        <v>631</v>
      </c>
      <c r="D2204" s="65">
        <v>30742</v>
      </c>
      <c r="E2204" s="42">
        <v>2.3199999999999998</v>
      </c>
      <c r="F2204" s="43">
        <v>11.504432</v>
      </c>
      <c r="G2204" s="42">
        <v>0.39255229000000003</v>
      </c>
      <c r="H2204" s="42">
        <v>0.36438575000000001</v>
      </c>
      <c r="I2204" s="42">
        <v>0.20132982999999999</v>
      </c>
      <c r="J2204" s="42">
        <v>3.7768032999999999E-2</v>
      </c>
      <c r="K2204" s="42">
        <v>9.2564276000000001E-2</v>
      </c>
      <c r="L2204" s="44">
        <v>12.593032179</v>
      </c>
    </row>
    <row r="2205" spans="1:12" hidden="1">
      <c r="A2205" s="41" t="s">
        <v>3027</v>
      </c>
      <c r="B2205" s="41"/>
      <c r="C2205" s="41" t="s">
        <v>631</v>
      </c>
      <c r="D2205" s="65">
        <v>30110</v>
      </c>
      <c r="E2205" s="42">
        <v>2.35</v>
      </c>
      <c r="F2205" s="43">
        <v>13.697449000000001</v>
      </c>
      <c r="G2205" s="42">
        <v>1.0024921</v>
      </c>
      <c r="H2205" s="42">
        <v>0.73869434</v>
      </c>
      <c r="I2205" s="42">
        <v>0.21885163999999999</v>
      </c>
      <c r="J2205" s="42">
        <v>3.7768032999999999E-2</v>
      </c>
      <c r="K2205" s="42">
        <v>6.6736979E-3</v>
      </c>
      <c r="L2205" s="44">
        <v>15.701928810900002</v>
      </c>
    </row>
    <row r="2206" spans="1:12" hidden="1">
      <c r="A2206" s="41" t="s">
        <v>3028</v>
      </c>
      <c r="B2206" s="41"/>
      <c r="C2206" s="41" t="s">
        <v>631</v>
      </c>
      <c r="D2206" s="65">
        <v>30011</v>
      </c>
      <c r="E2206" s="42">
        <v>2.36</v>
      </c>
      <c r="F2206" s="43">
        <v>13.697449000000001</v>
      </c>
      <c r="G2206" s="42">
        <v>1.1476516999999999</v>
      </c>
      <c r="H2206" s="42">
        <v>0.73869434</v>
      </c>
      <c r="I2206" s="42">
        <v>0.21885163999999999</v>
      </c>
      <c r="J2206" s="42">
        <v>3.7768032999999999E-2</v>
      </c>
      <c r="K2206" s="42">
        <v>9.2564276000000001E-2</v>
      </c>
      <c r="L2206" s="44">
        <v>15.932978989</v>
      </c>
    </row>
    <row r="2207" spans="1:12" hidden="1">
      <c r="A2207" s="41" t="s">
        <v>3029</v>
      </c>
      <c r="B2207" s="41"/>
      <c r="C2207" s="41" t="s">
        <v>631</v>
      </c>
      <c r="D2207" s="65">
        <v>30130</v>
      </c>
      <c r="E2207" s="42">
        <v>2.5499999999999998</v>
      </c>
      <c r="F2207" s="43">
        <v>11.429726</v>
      </c>
      <c r="G2207" s="42">
        <v>1.2500967000000001</v>
      </c>
      <c r="H2207" s="42">
        <v>0.27727707000000001</v>
      </c>
      <c r="I2207" s="42">
        <v>0.30271932000000001</v>
      </c>
      <c r="J2207" s="42">
        <v>3.7768032999999999E-2</v>
      </c>
      <c r="K2207" s="42">
        <v>9.2564276000000001E-2</v>
      </c>
      <c r="L2207" s="44">
        <v>13.390151399000001</v>
      </c>
    </row>
    <row r="2208" spans="1:12" hidden="1">
      <c r="A2208" s="41" t="s">
        <v>3030</v>
      </c>
      <c r="B2208" s="41"/>
      <c r="C2208" s="41" t="s">
        <v>631</v>
      </c>
      <c r="D2208" s="65">
        <v>30131</v>
      </c>
      <c r="E2208" s="42">
        <v>2.25</v>
      </c>
      <c r="F2208" s="43">
        <v>13.741557</v>
      </c>
      <c r="G2208" s="42">
        <v>0.45700465000000001</v>
      </c>
      <c r="H2208" s="42">
        <v>0.36438575000000001</v>
      </c>
      <c r="I2208" s="42">
        <v>0.20277674000000001</v>
      </c>
      <c r="J2208" s="42">
        <v>3.7768032999999999E-2</v>
      </c>
      <c r="K2208" s="42">
        <v>9.2564276000000001E-2</v>
      </c>
      <c r="L2208" s="44">
        <v>14.896056449</v>
      </c>
    </row>
    <row r="2209" spans="1:12" hidden="1">
      <c r="A2209" s="41" t="s">
        <v>3031</v>
      </c>
      <c r="B2209" s="41"/>
      <c r="C2209" s="41" t="s">
        <v>631</v>
      </c>
      <c r="D2209" s="65">
        <v>30309</v>
      </c>
      <c r="E2209" s="42">
        <v>2.5299999999999998</v>
      </c>
      <c r="F2209" s="43">
        <v>4.9997258000000002</v>
      </c>
      <c r="G2209" s="42">
        <v>0.64495807000000005</v>
      </c>
      <c r="H2209" s="42">
        <v>9.8416756999999994E-2</v>
      </c>
      <c r="I2209" s="42">
        <v>0.20449572999999999</v>
      </c>
      <c r="J2209" s="42">
        <v>3.7768032999999999E-2</v>
      </c>
      <c r="K2209" s="42">
        <v>6.6736979E-3</v>
      </c>
      <c r="L2209" s="44">
        <v>5.9920380879000001</v>
      </c>
    </row>
    <row r="2210" spans="1:12" hidden="1">
      <c r="A2210" s="37" t="s">
        <v>3032</v>
      </c>
      <c r="B2210" s="37"/>
      <c r="C2210" s="37" t="s">
        <v>3033</v>
      </c>
      <c r="D2210" s="64" t="s">
        <v>3034</v>
      </c>
      <c r="E2210" s="38">
        <v>2.0205719313810078</v>
      </c>
      <c r="F2210" s="39">
        <v>0.43924674000000002</v>
      </c>
      <c r="G2210" s="38">
        <v>1.0808633000000001</v>
      </c>
      <c r="H2210" s="38">
        <v>0.23321451000000001</v>
      </c>
      <c r="I2210" s="38">
        <v>0.23674503</v>
      </c>
      <c r="J2210" s="38">
        <v>4.0598703E-2</v>
      </c>
      <c r="K2210" s="38">
        <v>8.8525082000000005E-2</v>
      </c>
      <c r="L2210" s="40">
        <v>2.1191933650000001</v>
      </c>
    </row>
    <row r="2211" spans="1:12" hidden="1">
      <c r="A2211" s="37" t="s">
        <v>3035</v>
      </c>
      <c r="B2211" s="37"/>
      <c r="C2211" s="37" t="s">
        <v>3033</v>
      </c>
      <c r="D2211" s="64" t="s">
        <v>3036</v>
      </c>
      <c r="E2211" s="38">
        <v>2.0494626226680852</v>
      </c>
      <c r="F2211" s="39">
        <v>0.36529888999999999</v>
      </c>
      <c r="G2211" s="38">
        <v>0.37717150999999999</v>
      </c>
      <c r="H2211" s="38">
        <v>0.23319419999999999</v>
      </c>
      <c r="I2211" s="38">
        <v>0.22228786</v>
      </c>
      <c r="J2211" s="38">
        <v>4.0598703E-2</v>
      </c>
      <c r="K2211" s="38">
        <v>8.8525082000000005E-2</v>
      </c>
      <c r="L2211" s="40">
        <v>1.327076245</v>
      </c>
    </row>
    <row r="2212" spans="1:12" hidden="1">
      <c r="A2212" s="41" t="s">
        <v>3037</v>
      </c>
      <c r="B2212" s="41"/>
      <c r="C2212" s="41" t="s">
        <v>631</v>
      </c>
      <c r="D2212" s="65">
        <v>30750</v>
      </c>
      <c r="E2212" s="42">
        <v>2.81</v>
      </c>
      <c r="F2212" s="43">
        <v>13.697449000000001</v>
      </c>
      <c r="G2212" s="42">
        <v>1.0024921</v>
      </c>
      <c r="H2212" s="42">
        <v>0.73869434</v>
      </c>
      <c r="I2212" s="42">
        <v>0.21885163999999999</v>
      </c>
      <c r="J2212" s="42">
        <v>3.7768032999999999E-2</v>
      </c>
      <c r="K2212" s="42">
        <v>6.6736979E-3</v>
      </c>
      <c r="L2212" s="44">
        <v>15.701928810900002</v>
      </c>
    </row>
    <row r="2213" spans="1:12" hidden="1">
      <c r="A2213" s="37" t="s">
        <v>3038</v>
      </c>
      <c r="B2213" s="37"/>
      <c r="C2213" s="37" t="s">
        <v>631</v>
      </c>
      <c r="D2213" s="64">
        <v>30700</v>
      </c>
      <c r="E2213" s="38">
        <v>2.36</v>
      </c>
      <c r="F2213" s="39">
        <v>9.7160753999999994</v>
      </c>
      <c r="G2213" s="38">
        <v>0.71782966999999998</v>
      </c>
      <c r="H2213" s="38">
        <v>0.52351002000000002</v>
      </c>
      <c r="I2213" s="38">
        <v>0.21357465</v>
      </c>
      <c r="J2213" s="38">
        <v>3.7768032999999999E-2</v>
      </c>
      <c r="K2213" s="38">
        <v>9.2564276000000001E-2</v>
      </c>
      <c r="L2213" s="40">
        <v>11.301322048999999</v>
      </c>
    </row>
    <row r="2214" spans="1:12" hidden="1">
      <c r="A2214" s="41" t="s">
        <v>3039</v>
      </c>
      <c r="B2214" s="41"/>
      <c r="C2214" s="41" t="s">
        <v>631</v>
      </c>
      <c r="D2214" s="65">
        <v>30707</v>
      </c>
      <c r="E2214" s="42">
        <v>2.06</v>
      </c>
      <c r="F2214" s="43">
        <v>3.4848501999999999</v>
      </c>
      <c r="G2214" s="42">
        <v>0.44659452999999999</v>
      </c>
      <c r="H2214" s="42">
        <v>0.28396474999999999</v>
      </c>
      <c r="I2214" s="42">
        <v>0.20604790000000001</v>
      </c>
      <c r="J2214" s="42">
        <v>3.7768032999999999E-2</v>
      </c>
      <c r="K2214" s="42">
        <v>9.2564276000000001E-2</v>
      </c>
      <c r="L2214" s="44">
        <v>4.5517896889999996</v>
      </c>
    </row>
    <row r="2215" spans="1:12" hidden="1">
      <c r="A2215" s="37" t="s">
        <v>3040</v>
      </c>
      <c r="B2215" s="37"/>
      <c r="C2215" s="37" t="s">
        <v>631</v>
      </c>
      <c r="D2215" s="64">
        <v>30701</v>
      </c>
      <c r="E2215" s="38">
        <v>2.5299999999999998</v>
      </c>
      <c r="F2215" s="39">
        <v>6.2501468999999998</v>
      </c>
      <c r="G2215" s="38">
        <v>0.80626074999999997</v>
      </c>
      <c r="H2215" s="38">
        <v>0.12404842000000001</v>
      </c>
      <c r="I2215" s="38">
        <v>0.25624332999999999</v>
      </c>
      <c r="J2215" s="38">
        <v>4.7187537000000002E-2</v>
      </c>
      <c r="K2215" s="38">
        <v>9.4321172999999994E-2</v>
      </c>
      <c r="L2215" s="40">
        <v>7.5782081100000003</v>
      </c>
    </row>
    <row r="2216" spans="1:12" hidden="1">
      <c r="A2216" s="41" t="s">
        <v>3041</v>
      </c>
      <c r="B2216" s="41"/>
      <c r="C2216" s="41" t="s">
        <v>631</v>
      </c>
      <c r="D2216" s="65">
        <v>30705</v>
      </c>
      <c r="E2216" s="42">
        <v>2.5299999999999998</v>
      </c>
      <c r="F2216" s="43">
        <v>4.9476452999999996</v>
      </c>
      <c r="G2216" s="42">
        <v>0.63823974999999999</v>
      </c>
      <c r="H2216" s="42">
        <v>9.8197302E-2</v>
      </c>
      <c r="I2216" s="42">
        <v>0.20284341</v>
      </c>
      <c r="J2216" s="42">
        <v>3.7353873000000003E-2</v>
      </c>
      <c r="K2216" s="42">
        <v>9.2564276000000001E-2</v>
      </c>
      <c r="L2216" s="44">
        <v>6.0168439109999996</v>
      </c>
    </row>
    <row r="2217" spans="1:12" hidden="1">
      <c r="A2217" s="41" t="s">
        <v>3042</v>
      </c>
      <c r="B2217" s="41"/>
      <c r="C2217" s="41" t="s">
        <v>631</v>
      </c>
      <c r="D2217" s="65">
        <v>30706</v>
      </c>
      <c r="E2217" s="42">
        <v>2.5299999999999998</v>
      </c>
      <c r="F2217" s="43">
        <v>4.9476452999999996</v>
      </c>
      <c r="G2217" s="42">
        <v>0.63823974999999999</v>
      </c>
      <c r="H2217" s="42">
        <v>9.8197302E-2</v>
      </c>
      <c r="I2217" s="42">
        <v>0.20284341</v>
      </c>
      <c r="J2217" s="42">
        <v>3.7353873000000003E-2</v>
      </c>
      <c r="K2217" s="42">
        <v>9.2564276000000001E-2</v>
      </c>
      <c r="L2217" s="44">
        <v>6.0168439109999996</v>
      </c>
    </row>
    <row r="2218" spans="1:12" hidden="1">
      <c r="A2218" s="37" t="s">
        <v>3043</v>
      </c>
      <c r="B2218" s="37"/>
      <c r="C2218" s="37" t="s">
        <v>631</v>
      </c>
      <c r="D2218" s="64">
        <v>30300</v>
      </c>
      <c r="E2218" s="38">
        <v>2.1</v>
      </c>
      <c r="F2218" s="39">
        <v>4.9476452999999996</v>
      </c>
      <c r="G2218" s="38">
        <v>0.63823974999999999</v>
      </c>
      <c r="H2218" s="38">
        <v>9.8197302E-2</v>
      </c>
      <c r="I2218" s="38">
        <v>0.20284341</v>
      </c>
      <c r="J2218" s="38">
        <v>3.7353873000000003E-2</v>
      </c>
      <c r="K2218" s="38">
        <v>6.6736979E-3</v>
      </c>
      <c r="L2218" s="40">
        <v>5.9309533328999997</v>
      </c>
    </row>
    <row r="2219" spans="1:12" hidden="1">
      <c r="A2219" s="37" t="s">
        <v>3044</v>
      </c>
      <c r="B2219" s="37"/>
      <c r="C2219" s="37" t="s">
        <v>631</v>
      </c>
      <c r="D2219" s="64">
        <v>30311</v>
      </c>
      <c r="E2219" s="38">
        <v>2.5299999999999998</v>
      </c>
      <c r="F2219" s="39">
        <v>4.9997258000000002</v>
      </c>
      <c r="G2219" s="38">
        <v>0.64495807000000005</v>
      </c>
      <c r="H2219" s="38">
        <v>9.8416756999999994E-2</v>
      </c>
      <c r="I2219" s="38">
        <v>0.20449572999999999</v>
      </c>
      <c r="J2219" s="38">
        <v>3.7768032999999999E-2</v>
      </c>
      <c r="K2219" s="38">
        <v>6.6736979E-3</v>
      </c>
      <c r="L2219" s="40">
        <v>5.9920380879000001</v>
      </c>
    </row>
    <row r="2220" spans="1:12" hidden="1">
      <c r="A2220" s="37" t="s">
        <v>3045</v>
      </c>
      <c r="B2220" s="37"/>
      <c r="C2220" s="37" t="s">
        <v>631</v>
      </c>
      <c r="D2220" s="64">
        <v>30301</v>
      </c>
      <c r="E2220" s="38">
        <v>2.5299999999999998</v>
      </c>
      <c r="F2220" s="39">
        <v>4.9476452999999996</v>
      </c>
      <c r="G2220" s="38">
        <v>0.63823974999999999</v>
      </c>
      <c r="H2220" s="38">
        <v>9.8197302E-2</v>
      </c>
      <c r="I2220" s="38">
        <v>0.20284341</v>
      </c>
      <c r="J2220" s="38">
        <v>3.7353873000000003E-2</v>
      </c>
      <c r="K2220" s="38">
        <v>6.6736979E-3</v>
      </c>
      <c r="L2220" s="40">
        <v>5.9309533328999997</v>
      </c>
    </row>
    <row r="2221" spans="1:12" hidden="1">
      <c r="A2221" s="37" t="s">
        <v>3046</v>
      </c>
      <c r="B2221" s="37"/>
      <c r="C2221" s="37" t="s">
        <v>631</v>
      </c>
      <c r="D2221" s="64">
        <v>30302</v>
      </c>
      <c r="E2221" s="38">
        <v>2.5299999999999998</v>
      </c>
      <c r="F2221" s="39">
        <v>4.9476452999999996</v>
      </c>
      <c r="G2221" s="38">
        <v>0.63823974999999999</v>
      </c>
      <c r="H2221" s="38">
        <v>9.8197302E-2</v>
      </c>
      <c r="I2221" s="38">
        <v>0.20284341</v>
      </c>
      <c r="J2221" s="38">
        <v>3.7353873000000003E-2</v>
      </c>
      <c r="K2221" s="38">
        <v>6.6736979E-3</v>
      </c>
      <c r="L2221" s="40">
        <v>5.9309533328999997</v>
      </c>
    </row>
    <row r="2222" spans="1:12" hidden="1">
      <c r="A2222" s="41" t="s">
        <v>3047</v>
      </c>
      <c r="B2222" s="41"/>
      <c r="C2222" s="41" t="s">
        <v>807</v>
      </c>
      <c r="D2222" s="65">
        <v>11069</v>
      </c>
      <c r="E2222" s="42">
        <v>3.75</v>
      </c>
      <c r="F2222" s="43">
        <v>0.22186655999999999</v>
      </c>
      <c r="G2222" s="42">
        <v>0</v>
      </c>
      <c r="H2222" s="42">
        <v>0.32904318999999999</v>
      </c>
      <c r="I2222" s="42">
        <v>0.16258027</v>
      </c>
      <c r="J2222" s="42">
        <v>1.9594963E-2</v>
      </c>
      <c r="K2222" s="42">
        <v>8.0351048999999994E-2</v>
      </c>
      <c r="L2222" s="44">
        <v>0.81343603199999992</v>
      </c>
    </row>
    <row r="2223" spans="1:12" hidden="1">
      <c r="A2223" s="41" t="s">
        <v>3048</v>
      </c>
      <c r="B2223" s="41"/>
      <c r="C2223" s="41" t="s">
        <v>807</v>
      </c>
      <c r="D2223" s="65">
        <v>11037</v>
      </c>
      <c r="E2223" s="42">
        <v>3.75</v>
      </c>
      <c r="F2223" s="43">
        <v>0.88036652999999998</v>
      </c>
      <c r="G2223" s="42">
        <v>0</v>
      </c>
      <c r="H2223" s="42">
        <v>0.47782284000000003</v>
      </c>
      <c r="I2223" s="42">
        <v>0.17533238000000001</v>
      </c>
      <c r="J2223" s="42">
        <v>1.5675970000000001E-2</v>
      </c>
      <c r="K2223" s="42">
        <v>0</v>
      </c>
      <c r="L2223" s="44">
        <v>1.54919772</v>
      </c>
    </row>
    <row r="2224" spans="1:12" hidden="1">
      <c r="A2224" s="41" t="s">
        <v>3049</v>
      </c>
      <c r="B2224" s="41"/>
      <c r="C2224" s="41" t="s">
        <v>811</v>
      </c>
      <c r="D2224" s="65">
        <v>25077</v>
      </c>
      <c r="E2224" s="42">
        <v>3</v>
      </c>
      <c r="F2224" s="43">
        <v>4.6849420000000004</v>
      </c>
      <c r="G2224" s="42">
        <v>2.9031966999999999E-2</v>
      </c>
      <c r="H2224" s="42">
        <v>0.18549789</v>
      </c>
      <c r="I2224" s="42">
        <v>0.78994969999999998</v>
      </c>
      <c r="J2224" s="42">
        <v>3.7768032999999999E-2</v>
      </c>
      <c r="K2224" s="42">
        <v>1.7696322E-2</v>
      </c>
      <c r="L2224" s="44">
        <v>5.744885912</v>
      </c>
    </row>
    <row r="2225" spans="1:12" hidden="1">
      <c r="A2225" s="41" t="s">
        <v>3050</v>
      </c>
      <c r="B2225" s="41"/>
      <c r="C2225" s="41" t="s">
        <v>873</v>
      </c>
      <c r="D2225" s="65">
        <v>26037</v>
      </c>
      <c r="E2225" s="42">
        <v>2.5299999999999998</v>
      </c>
      <c r="F2225" s="43">
        <v>6.1282505</v>
      </c>
      <c r="G2225" s="42">
        <v>0.30951317</v>
      </c>
      <c r="H2225" s="42">
        <v>0.520513</v>
      </c>
      <c r="I2225" s="42">
        <v>1.0012342000000001</v>
      </c>
      <c r="J2225" s="42">
        <v>2.2535324999999998E-2</v>
      </c>
      <c r="K2225" s="42">
        <v>6.6736979E-3</v>
      </c>
      <c r="L2225" s="44">
        <v>7.9887198928999998</v>
      </c>
    </row>
    <row r="2226" spans="1:12" hidden="1">
      <c r="A2226" s="41" t="s">
        <v>3051</v>
      </c>
      <c r="B2226" s="41"/>
      <c r="C2226" s="41" t="s">
        <v>782</v>
      </c>
      <c r="D2226" s="65">
        <v>26119</v>
      </c>
      <c r="E2226" s="42">
        <v>3.1</v>
      </c>
      <c r="F2226" s="43">
        <v>5.5911854999999999</v>
      </c>
      <c r="G2226" s="42">
        <v>0.99835521000000005</v>
      </c>
      <c r="H2226" s="42">
        <v>1.4094515000000001</v>
      </c>
      <c r="I2226" s="42">
        <v>0.84978416999999995</v>
      </c>
      <c r="J2226" s="42">
        <v>1.9764528999999999E-2</v>
      </c>
      <c r="K2226" s="42">
        <v>8.0351048999999994E-2</v>
      </c>
      <c r="L2226" s="44">
        <v>8.9488919580000008</v>
      </c>
    </row>
    <row r="2227" spans="1:12" hidden="1">
      <c r="A2227" s="41" t="s">
        <v>3052</v>
      </c>
      <c r="B2227" s="41"/>
      <c r="C2227" s="41" t="s">
        <v>873</v>
      </c>
      <c r="D2227" s="65">
        <v>26217</v>
      </c>
      <c r="E2227" s="42">
        <v>2.5499999999999998</v>
      </c>
      <c r="F2227" s="43">
        <v>5.6609965999999998</v>
      </c>
      <c r="G2227" s="42">
        <v>3.5080448E-2</v>
      </c>
      <c r="H2227" s="42">
        <v>0.22495896000000001</v>
      </c>
      <c r="I2227" s="42">
        <v>0.95511024</v>
      </c>
      <c r="J2227" s="42">
        <v>4.3924803999999998E-2</v>
      </c>
      <c r="K2227" s="42">
        <v>0.23058798</v>
      </c>
      <c r="L2227" s="44">
        <v>7.150659032000001</v>
      </c>
    </row>
    <row r="2228" spans="1:12" hidden="1">
      <c r="A2228" s="41" t="s">
        <v>3053</v>
      </c>
      <c r="B2228" s="41"/>
      <c r="C2228" s="41" t="s">
        <v>826</v>
      </c>
      <c r="D2228" s="65">
        <v>26036</v>
      </c>
      <c r="E2228" s="42">
        <v>3.1</v>
      </c>
      <c r="F2228" s="43">
        <v>4.6361406000000001</v>
      </c>
      <c r="G2228" s="42">
        <v>2.8729550999999999E-2</v>
      </c>
      <c r="H2228" s="42">
        <v>0.27530876999999998</v>
      </c>
      <c r="I2228" s="42">
        <v>0.78219890000000003</v>
      </c>
      <c r="J2228" s="42">
        <v>3.7353873000000003E-2</v>
      </c>
      <c r="K2228" s="42">
        <v>6.6736979E-3</v>
      </c>
      <c r="L2228" s="44">
        <v>5.7664053918999993</v>
      </c>
    </row>
    <row r="2229" spans="1:12" hidden="1">
      <c r="A2229" s="41" t="s">
        <v>3054</v>
      </c>
      <c r="B2229" s="41"/>
      <c r="C2229" s="41" t="s">
        <v>873</v>
      </c>
      <c r="D2229" s="65">
        <v>26038</v>
      </c>
      <c r="E2229" s="42">
        <v>3.08</v>
      </c>
      <c r="F2229" s="43">
        <v>5.6609965999999998</v>
      </c>
      <c r="G2229" s="42">
        <v>3.5080448E-2</v>
      </c>
      <c r="H2229" s="42">
        <v>0.22504651000000001</v>
      </c>
      <c r="I2229" s="42">
        <v>0.95511024</v>
      </c>
      <c r="J2229" s="42">
        <v>4.5611246000000001E-2</v>
      </c>
      <c r="K2229" s="42">
        <v>9.4039550999999999E-2</v>
      </c>
      <c r="L2229" s="44">
        <v>7.0158845950000002</v>
      </c>
    </row>
    <row r="2230" spans="1:12" hidden="1">
      <c r="A2230" s="41" t="s">
        <v>3055</v>
      </c>
      <c r="B2230" s="41"/>
      <c r="C2230" s="41" t="s">
        <v>873</v>
      </c>
      <c r="D2230" s="65">
        <v>26211</v>
      </c>
      <c r="E2230" s="42">
        <v>3.08</v>
      </c>
      <c r="F2230" s="43">
        <v>5.6609965999999998</v>
      </c>
      <c r="G2230" s="42">
        <v>3.5080448E-2</v>
      </c>
      <c r="H2230" s="42">
        <v>0.22504651000000001</v>
      </c>
      <c r="I2230" s="42">
        <v>0.95511024</v>
      </c>
      <c r="J2230" s="42">
        <v>4.5611246000000001E-2</v>
      </c>
      <c r="K2230" s="42">
        <v>8.1489723999999993E-3</v>
      </c>
      <c r="L2230" s="44">
        <v>6.9299940164000002</v>
      </c>
    </row>
    <row r="2231" spans="1:12" hidden="1">
      <c r="A2231" s="41" t="s">
        <v>3056</v>
      </c>
      <c r="B2231" s="41"/>
      <c r="C2231" s="41" t="s">
        <v>873</v>
      </c>
      <c r="D2231" s="65">
        <v>26230</v>
      </c>
      <c r="E2231" s="42">
        <v>3.08</v>
      </c>
      <c r="F2231" s="43">
        <v>5.6609965999999998</v>
      </c>
      <c r="G2231" s="42">
        <v>3.5080448E-2</v>
      </c>
      <c r="H2231" s="42">
        <v>0.22504651000000001</v>
      </c>
      <c r="I2231" s="42">
        <v>0.95511024</v>
      </c>
      <c r="J2231" s="42">
        <v>4.5611246000000001E-2</v>
      </c>
      <c r="K2231" s="42">
        <v>9.4039550999999999E-2</v>
      </c>
      <c r="L2231" s="44">
        <v>7.0158845950000002</v>
      </c>
    </row>
    <row r="2232" spans="1:12" hidden="1">
      <c r="A2232" s="41" t="s">
        <v>3057</v>
      </c>
      <c r="B2232" s="41"/>
      <c r="C2232" s="41" t="s">
        <v>873</v>
      </c>
      <c r="D2232" s="65">
        <v>26229</v>
      </c>
      <c r="E2232" s="42">
        <v>3.08</v>
      </c>
      <c r="F2232" s="43">
        <v>5.6727689999999997</v>
      </c>
      <c r="G2232" s="42">
        <v>3.6342320999999997E-2</v>
      </c>
      <c r="H2232" s="42">
        <v>0.22495896000000001</v>
      </c>
      <c r="I2232" s="42">
        <v>0.95585025999999995</v>
      </c>
      <c r="J2232" s="42">
        <v>4.5611246000000001E-2</v>
      </c>
      <c r="K2232" s="42">
        <v>0.11549598</v>
      </c>
      <c r="L2232" s="44">
        <v>7.0510277670000008</v>
      </c>
    </row>
    <row r="2233" spans="1:12" hidden="1">
      <c r="A2233" s="41" t="s">
        <v>3058</v>
      </c>
      <c r="B2233" s="41"/>
      <c r="C2233" s="41" t="s">
        <v>826</v>
      </c>
      <c r="D2233" s="65">
        <v>26111</v>
      </c>
      <c r="E2233" s="42">
        <v>3.64</v>
      </c>
      <c r="F2233" s="43">
        <v>5.3474227000000001</v>
      </c>
      <c r="G2233" s="42">
        <v>0</v>
      </c>
      <c r="H2233" s="42">
        <v>0.27530876999999998</v>
      </c>
      <c r="I2233" s="42">
        <v>1.0455774</v>
      </c>
      <c r="J2233" s="42">
        <v>3.7353873000000003E-2</v>
      </c>
      <c r="K2233" s="42">
        <v>6.6736979E-3</v>
      </c>
      <c r="L2233" s="44">
        <v>6.7123364408999997</v>
      </c>
    </row>
    <row r="2234" spans="1:12" hidden="1">
      <c r="A2234" s="37" t="s">
        <v>3059</v>
      </c>
      <c r="B2234" s="37"/>
      <c r="C2234" s="37" t="s">
        <v>842</v>
      </c>
      <c r="D2234" s="64">
        <v>20090</v>
      </c>
      <c r="E2234" s="38">
        <v>2.6</v>
      </c>
      <c r="F2234" s="39">
        <v>0.30023238000000002</v>
      </c>
      <c r="G2234" s="38">
        <v>0</v>
      </c>
      <c r="H2234" s="38">
        <v>0</v>
      </c>
      <c r="I2234" s="38">
        <v>0.36475004999999999</v>
      </c>
      <c r="J2234" s="38">
        <v>0.20793674000000001</v>
      </c>
      <c r="K2234" s="38">
        <v>0.22539229</v>
      </c>
      <c r="L2234" s="40">
        <v>1.0983114600000001</v>
      </c>
    </row>
    <row r="2235" spans="1:12" hidden="1">
      <c r="A2235" s="37" t="s">
        <v>3060</v>
      </c>
      <c r="B2235" s="37"/>
      <c r="C2235" s="37" t="s">
        <v>826</v>
      </c>
      <c r="D2235" s="64">
        <v>26210</v>
      </c>
      <c r="E2235" s="38">
        <v>3.68</v>
      </c>
      <c r="F2235" s="39">
        <v>9.3213296000000003</v>
      </c>
      <c r="G2235" s="38">
        <v>0</v>
      </c>
      <c r="H2235" s="38">
        <v>0.27530876999999998</v>
      </c>
      <c r="I2235" s="38">
        <v>1.1705296999999999</v>
      </c>
      <c r="J2235" s="38">
        <v>3.7353873000000003E-2</v>
      </c>
      <c r="K2235" s="38">
        <v>6.6736979E-3</v>
      </c>
      <c r="L2235" s="40">
        <v>10.811195640900001</v>
      </c>
    </row>
    <row r="2236" spans="1:12" hidden="1">
      <c r="A2236" s="41" t="s">
        <v>3061</v>
      </c>
      <c r="B2236" s="41"/>
      <c r="C2236" s="41" t="s">
        <v>816</v>
      </c>
      <c r="D2236" s="65">
        <v>9390</v>
      </c>
      <c r="E2236" s="42">
        <v>3.15</v>
      </c>
      <c r="F2236" s="43">
        <v>0.31138150999999997</v>
      </c>
      <c r="G2236" s="42">
        <v>0</v>
      </c>
      <c r="H2236" s="42">
        <v>0.26506589000000003</v>
      </c>
      <c r="I2236" s="42">
        <v>0.13112868999999999</v>
      </c>
      <c r="J2236" s="42">
        <v>1.606076E-2</v>
      </c>
      <c r="K2236" s="42">
        <v>0</v>
      </c>
      <c r="L2236" s="44">
        <v>0.72363684999999989</v>
      </c>
    </row>
    <row r="2237" spans="1:12" hidden="1">
      <c r="A2237" s="41" t="s">
        <v>3062</v>
      </c>
      <c r="B2237" s="41"/>
      <c r="C2237" s="41" t="s">
        <v>1103</v>
      </c>
      <c r="D2237" s="65" t="s">
        <v>3063</v>
      </c>
      <c r="E2237" s="42">
        <v>2.0205719313810078</v>
      </c>
      <c r="F2237" s="43">
        <v>7.6741275999999997E-2</v>
      </c>
      <c r="G2237" s="42">
        <v>0.81585940000000001</v>
      </c>
      <c r="H2237" s="42">
        <v>0.10297359</v>
      </c>
      <c r="I2237" s="42">
        <v>0.17987133999999999</v>
      </c>
      <c r="J2237" s="42">
        <v>3.2121882999999997E-2</v>
      </c>
      <c r="K2237" s="42">
        <v>8.6768135999999996E-2</v>
      </c>
      <c r="L2237" s="44">
        <v>1.294335625</v>
      </c>
    </row>
    <row r="2238" spans="1:12" hidden="1">
      <c r="A2238" s="37" t="s">
        <v>3064</v>
      </c>
      <c r="B2238" s="37"/>
      <c r="C2238" s="37" t="s">
        <v>1731</v>
      </c>
      <c r="D2238" s="64">
        <v>11044</v>
      </c>
      <c r="E2238" s="38">
        <v>2.44</v>
      </c>
      <c r="F2238" s="39">
        <v>0.29716791999999997</v>
      </c>
      <c r="G2238" s="38">
        <v>0</v>
      </c>
      <c r="H2238" s="38">
        <v>0.17709348</v>
      </c>
      <c r="I2238" s="38">
        <v>0.11036461</v>
      </c>
      <c r="J2238" s="38">
        <v>1.9437894000000001E-2</v>
      </c>
      <c r="K2238" s="38">
        <v>0</v>
      </c>
      <c r="L2238" s="40">
        <v>0.60406390399999987</v>
      </c>
    </row>
    <row r="2239" spans="1:12" hidden="1">
      <c r="A2239" s="41" t="s">
        <v>3065</v>
      </c>
      <c r="B2239" s="41"/>
      <c r="C2239" s="41" t="s">
        <v>1731</v>
      </c>
      <c r="D2239" s="65">
        <v>11058</v>
      </c>
      <c r="E2239" s="42">
        <v>2.87</v>
      </c>
      <c r="F2239" s="43">
        <v>0.29716791999999997</v>
      </c>
      <c r="G2239" s="42">
        <v>0</v>
      </c>
      <c r="H2239" s="42">
        <v>0.17709348</v>
      </c>
      <c r="I2239" s="42">
        <v>0.11036461</v>
      </c>
      <c r="J2239" s="42">
        <v>1.9437894000000001E-2</v>
      </c>
      <c r="K2239" s="42">
        <v>0</v>
      </c>
      <c r="L2239" s="44">
        <v>0.60406390399999987</v>
      </c>
    </row>
    <row r="2240" spans="1:12" hidden="1">
      <c r="A2240" s="41" t="s">
        <v>3066</v>
      </c>
      <c r="B2240" s="41"/>
      <c r="C2240" s="41" t="s">
        <v>1731</v>
      </c>
      <c r="D2240" s="65">
        <v>11017</v>
      </c>
      <c r="E2240" s="42">
        <v>2.44</v>
      </c>
      <c r="F2240" s="43">
        <v>0.29716791999999997</v>
      </c>
      <c r="G2240" s="42">
        <v>0</v>
      </c>
      <c r="H2240" s="42">
        <v>0.17709348</v>
      </c>
      <c r="I2240" s="42">
        <v>0.11036461</v>
      </c>
      <c r="J2240" s="42">
        <v>1.9437894000000001E-2</v>
      </c>
      <c r="K2240" s="42">
        <v>0</v>
      </c>
      <c r="L2240" s="44">
        <v>0.60406390399999987</v>
      </c>
    </row>
    <row r="2241" spans="1:12" hidden="1">
      <c r="A2241" s="41" t="s">
        <v>3067</v>
      </c>
      <c r="B2241" s="41"/>
      <c r="C2241" s="41" t="s">
        <v>1731</v>
      </c>
      <c r="D2241" s="65">
        <v>11083</v>
      </c>
      <c r="E2241" s="42">
        <v>2.44</v>
      </c>
      <c r="F2241" s="43">
        <v>0.29716791999999997</v>
      </c>
      <c r="G2241" s="42">
        <v>0</v>
      </c>
      <c r="H2241" s="42">
        <v>0.17709348</v>
      </c>
      <c r="I2241" s="42">
        <v>0.11036461</v>
      </c>
      <c r="J2241" s="42">
        <v>1.9437894000000001E-2</v>
      </c>
      <c r="K2241" s="42">
        <v>0</v>
      </c>
      <c r="L2241" s="44">
        <v>0.60406390399999987</v>
      </c>
    </row>
    <row r="2242" spans="1:12" hidden="1">
      <c r="A2242" s="41" t="s">
        <v>3068</v>
      </c>
      <c r="B2242" s="41"/>
      <c r="C2242" s="41" t="s">
        <v>640</v>
      </c>
      <c r="D2242" s="65">
        <v>12845</v>
      </c>
      <c r="E2242" s="42">
        <v>2.4500000000000002</v>
      </c>
      <c r="F2242" s="43">
        <v>5.6438750000000004</v>
      </c>
      <c r="G2242" s="42">
        <v>0.29382051999999997</v>
      </c>
      <c r="H2242" s="42">
        <v>0.26233268999999998</v>
      </c>
      <c r="I2242" s="42">
        <v>0.21100323000000001</v>
      </c>
      <c r="J2242" s="42">
        <v>3.5969872999999999E-2</v>
      </c>
      <c r="K2242" s="42">
        <v>6.6736979E-3</v>
      </c>
      <c r="L2242" s="44">
        <v>6.4536750109000005</v>
      </c>
    </row>
    <row r="2243" spans="1:12" hidden="1">
      <c r="A2243" s="41" t="s">
        <v>3069</v>
      </c>
      <c r="B2243" s="41"/>
      <c r="C2243" s="41" t="s">
        <v>1085</v>
      </c>
      <c r="D2243" s="65">
        <v>39218</v>
      </c>
      <c r="E2243" s="42">
        <v>1.85</v>
      </c>
      <c r="F2243" s="43">
        <v>0.85108528000000006</v>
      </c>
      <c r="G2243" s="42">
        <v>0.18809145999999999</v>
      </c>
      <c r="H2243" s="42">
        <v>0.18549789</v>
      </c>
      <c r="I2243" s="42">
        <v>0.20734496999999999</v>
      </c>
      <c r="J2243" s="42">
        <v>3.7768032999999999E-2</v>
      </c>
      <c r="K2243" s="42">
        <v>6.6736979E-3</v>
      </c>
      <c r="L2243" s="44">
        <v>1.4764613309000001</v>
      </c>
    </row>
    <row r="2244" spans="1:12" hidden="1">
      <c r="A2244" s="37" t="s">
        <v>3070</v>
      </c>
      <c r="B2244" s="37"/>
      <c r="C2244" s="37" t="s">
        <v>816</v>
      </c>
      <c r="D2244" s="64">
        <v>9610</v>
      </c>
      <c r="E2244" s="38">
        <v>2.56</v>
      </c>
      <c r="F2244" s="39">
        <v>0.68012547000000001</v>
      </c>
      <c r="G2244" s="38">
        <v>0.59010300999999998</v>
      </c>
      <c r="H2244" s="38">
        <v>0.26506589000000003</v>
      </c>
      <c r="I2244" s="38">
        <v>0.11323782</v>
      </c>
      <c r="J2244" s="38">
        <v>1.606076E-2</v>
      </c>
      <c r="K2244" s="38">
        <v>0</v>
      </c>
      <c r="L2244" s="40">
        <v>1.6645929500000001</v>
      </c>
    </row>
    <row r="2245" spans="1:12" hidden="1">
      <c r="A2245" s="41" t="s">
        <v>3071</v>
      </c>
      <c r="B2245" s="41"/>
      <c r="C2245" s="41" t="s">
        <v>637</v>
      </c>
      <c r="D2245" s="65">
        <v>15010</v>
      </c>
      <c r="E2245" s="42">
        <v>4.12</v>
      </c>
      <c r="F2245" s="43">
        <v>3.7786396</v>
      </c>
      <c r="G2245" s="42">
        <v>0</v>
      </c>
      <c r="H2245" s="42">
        <v>0.53013177</v>
      </c>
      <c r="I2245" s="42">
        <v>0.50911273000000001</v>
      </c>
      <c r="J2245" s="42">
        <v>4.5312862000000002E-2</v>
      </c>
      <c r="K2245" s="42">
        <v>0.32140418999999998</v>
      </c>
      <c r="L2245" s="44">
        <v>5.1846011519999999</v>
      </c>
    </row>
    <row r="2246" spans="1:12" hidden="1">
      <c r="A2246" s="41" t="s">
        <v>3072</v>
      </c>
      <c r="B2246" s="41"/>
      <c r="C2246" s="41" t="s">
        <v>637</v>
      </c>
      <c r="D2246" s="65">
        <v>15035</v>
      </c>
      <c r="E2246" s="42">
        <v>4.4000000000000004</v>
      </c>
      <c r="F2246" s="43">
        <v>3.7786396</v>
      </c>
      <c r="G2246" s="42">
        <v>0</v>
      </c>
      <c r="H2246" s="42">
        <v>0.53013177</v>
      </c>
      <c r="I2246" s="42">
        <v>0.50911273000000001</v>
      </c>
      <c r="J2246" s="42">
        <v>4.5312862000000002E-2</v>
      </c>
      <c r="K2246" s="42">
        <v>0.32140418999999998</v>
      </c>
      <c r="L2246" s="44">
        <v>5.1846011519999999</v>
      </c>
    </row>
    <row r="2247" spans="1:12" hidden="1">
      <c r="A2247" s="41" t="s">
        <v>3073</v>
      </c>
      <c r="B2247" s="41"/>
      <c r="C2247" s="41" t="s">
        <v>637</v>
      </c>
      <c r="D2247" s="65">
        <v>15038</v>
      </c>
      <c r="E2247" s="42">
        <v>4.4000000000000004</v>
      </c>
      <c r="F2247" s="43">
        <v>3.7786396</v>
      </c>
      <c r="G2247" s="42">
        <v>0</v>
      </c>
      <c r="H2247" s="42">
        <v>0.53013177</v>
      </c>
      <c r="I2247" s="42">
        <v>0.50911273000000001</v>
      </c>
      <c r="J2247" s="42">
        <v>4.5312862000000002E-2</v>
      </c>
      <c r="K2247" s="42">
        <v>0.32140418999999998</v>
      </c>
      <c r="L2247" s="44">
        <v>5.1846011519999999</v>
      </c>
    </row>
    <row r="2248" spans="1:12" hidden="1">
      <c r="A2248" s="41" t="s">
        <v>3074</v>
      </c>
      <c r="B2248" s="41"/>
      <c r="C2248" s="41" t="s">
        <v>650</v>
      </c>
      <c r="D2248" s="65">
        <v>18017</v>
      </c>
      <c r="E2248" s="42">
        <v>2.63</v>
      </c>
      <c r="F2248" s="43">
        <v>0.22496422999999999</v>
      </c>
      <c r="G2248" s="42">
        <v>0.13609916</v>
      </c>
      <c r="H2248" s="42">
        <v>0.47782284000000003</v>
      </c>
      <c r="I2248" s="42">
        <v>0.17241293999999999</v>
      </c>
      <c r="J2248" s="42">
        <v>1.5350219999999999E-2</v>
      </c>
      <c r="K2248" s="42">
        <v>0</v>
      </c>
      <c r="L2248" s="44">
        <v>1.02664939</v>
      </c>
    </row>
    <row r="2249" spans="1:12" hidden="1">
      <c r="A2249" s="41" t="s">
        <v>3075</v>
      </c>
      <c r="B2249" s="41"/>
      <c r="C2249" s="41" t="s">
        <v>894</v>
      </c>
      <c r="D2249" s="65">
        <v>31089</v>
      </c>
      <c r="E2249" s="42">
        <v>2.1992884656148819</v>
      </c>
      <c r="F2249" s="43">
        <v>3.8119379000000002</v>
      </c>
      <c r="G2249" s="42">
        <v>0.55765260000000005</v>
      </c>
      <c r="H2249" s="42">
        <v>6.9853689999999996E-2</v>
      </c>
      <c r="I2249" s="42">
        <v>0.21352515</v>
      </c>
      <c r="J2249" s="42">
        <v>1.2153389000000001E-2</v>
      </c>
      <c r="K2249" s="42">
        <v>0</v>
      </c>
      <c r="L2249" s="44">
        <v>4.6651227290000001</v>
      </c>
    </row>
    <row r="2250" spans="1:12" hidden="1">
      <c r="A2250" s="41" t="s">
        <v>3076</v>
      </c>
      <c r="B2250" s="41"/>
      <c r="C2250" s="41" t="s">
        <v>894</v>
      </c>
      <c r="D2250" s="65">
        <v>31034</v>
      </c>
      <c r="E2250" s="42">
        <v>1.3401539961583371</v>
      </c>
      <c r="F2250" s="43">
        <v>9.4396801000000002E-2</v>
      </c>
      <c r="G2250" s="42">
        <v>1.1566320000000001</v>
      </c>
      <c r="H2250" s="42">
        <v>0.49792849</v>
      </c>
      <c r="I2250" s="42">
        <v>0.25227586000000002</v>
      </c>
      <c r="J2250" s="42">
        <v>1.3496414E-2</v>
      </c>
      <c r="K2250" s="42">
        <v>0</v>
      </c>
      <c r="L2250" s="44">
        <v>2.0147295650000001</v>
      </c>
    </row>
    <row r="2251" spans="1:12" hidden="1">
      <c r="A2251" s="37" t="s">
        <v>3077</v>
      </c>
      <c r="B2251" s="37"/>
      <c r="C2251" s="37" t="s">
        <v>894</v>
      </c>
      <c r="D2251" s="64">
        <v>20919</v>
      </c>
      <c r="E2251" s="38">
        <v>3.38</v>
      </c>
      <c r="F2251" s="39">
        <v>3.5575408000000003E-2</v>
      </c>
      <c r="G2251" s="38">
        <v>2.3472264E-2</v>
      </c>
      <c r="H2251" s="38">
        <v>0.49792849</v>
      </c>
      <c r="I2251" s="38">
        <v>0.15469292000000001</v>
      </c>
      <c r="J2251" s="38">
        <v>1.7263204000000001E-2</v>
      </c>
      <c r="K2251" s="38">
        <v>0</v>
      </c>
      <c r="L2251" s="40">
        <v>0.72893228600000004</v>
      </c>
    </row>
    <row r="2252" spans="1:12" hidden="1">
      <c r="A2252" s="41" t="s">
        <v>3078</v>
      </c>
      <c r="B2252" s="41"/>
      <c r="C2252" s="41" t="s">
        <v>894</v>
      </c>
      <c r="D2252" s="65">
        <v>20918</v>
      </c>
      <c r="E2252" s="42">
        <v>2.99</v>
      </c>
      <c r="F2252" s="43">
        <v>3.5575408000000003E-2</v>
      </c>
      <c r="G2252" s="42">
        <v>2.3472264E-2</v>
      </c>
      <c r="H2252" s="42">
        <v>0.49792849</v>
      </c>
      <c r="I2252" s="42">
        <v>0.15469292000000001</v>
      </c>
      <c r="J2252" s="42">
        <v>1.7263204000000001E-2</v>
      </c>
      <c r="K2252" s="42">
        <v>0</v>
      </c>
      <c r="L2252" s="44">
        <v>0.72893228600000004</v>
      </c>
    </row>
    <row r="2253" spans="1:12" hidden="1">
      <c r="A2253" s="41" t="s">
        <v>3079</v>
      </c>
      <c r="B2253" s="41"/>
      <c r="C2253" s="41" t="s">
        <v>650</v>
      </c>
      <c r="D2253" s="65">
        <v>2500</v>
      </c>
      <c r="E2253" s="42">
        <v>3.07</v>
      </c>
      <c r="F2253" s="43">
        <v>0.11390539</v>
      </c>
      <c r="G2253" s="42">
        <v>0.1805167</v>
      </c>
      <c r="H2253" s="42">
        <v>0.14862197999999999</v>
      </c>
      <c r="I2253" s="42">
        <v>0.20862669</v>
      </c>
      <c r="J2253" s="42">
        <v>3.5836186999999999E-2</v>
      </c>
      <c r="K2253" s="42">
        <v>6.6736979E-3</v>
      </c>
      <c r="L2253" s="44">
        <v>0.69418064490000009</v>
      </c>
    </row>
    <row r="2254" spans="1:12" hidden="1">
      <c r="A2254" s="41" t="s">
        <v>3080</v>
      </c>
      <c r="B2254" s="41"/>
      <c r="C2254" s="41" t="s">
        <v>640</v>
      </c>
      <c r="D2254" s="65">
        <v>12356</v>
      </c>
      <c r="E2254" s="42">
        <v>1.87</v>
      </c>
      <c r="F2254" s="43">
        <v>4.3271804999999999</v>
      </c>
      <c r="G2254" s="42">
        <v>0.44835524999999998</v>
      </c>
      <c r="H2254" s="42">
        <v>0.18553562000000001</v>
      </c>
      <c r="I2254" s="42">
        <v>0.21374812000000001</v>
      </c>
      <c r="J2254" s="42">
        <v>3.7768032999999999E-2</v>
      </c>
      <c r="K2254" s="42">
        <v>6.6736979E-3</v>
      </c>
      <c r="L2254" s="44">
        <v>5.2192612208999991</v>
      </c>
    </row>
    <row r="2255" spans="1:12" hidden="1">
      <c r="A2255" s="41" t="s">
        <v>3081</v>
      </c>
      <c r="B2255" s="41"/>
      <c r="C2255" s="41" t="s">
        <v>637</v>
      </c>
      <c r="D2255" s="65">
        <v>20901</v>
      </c>
      <c r="E2255" s="42">
        <v>3.42</v>
      </c>
      <c r="F2255" s="43">
        <v>1.0155019000000001</v>
      </c>
      <c r="G2255" s="42">
        <v>7.5241902000000001E-3</v>
      </c>
      <c r="H2255" s="42">
        <v>0.26506589000000003</v>
      </c>
      <c r="I2255" s="42">
        <v>0.24909270999999999</v>
      </c>
      <c r="J2255" s="42">
        <v>2.2656431000000001E-2</v>
      </c>
      <c r="K2255" s="42">
        <v>0</v>
      </c>
      <c r="L2255" s="44">
        <v>1.5598411212000001</v>
      </c>
    </row>
    <row r="2256" spans="1:12" hidden="1">
      <c r="A2256" s="41" t="s">
        <v>3082</v>
      </c>
      <c r="B2256" s="41"/>
      <c r="C2256" s="41" t="s">
        <v>826</v>
      </c>
      <c r="D2256" s="65">
        <v>26200</v>
      </c>
      <c r="E2256" s="42">
        <v>3.64</v>
      </c>
      <c r="F2256" s="43">
        <v>5.3474227000000001</v>
      </c>
      <c r="G2256" s="42">
        <v>0</v>
      </c>
      <c r="H2256" s="42">
        <v>0.27530876999999998</v>
      </c>
      <c r="I2256" s="42">
        <v>1.0455774</v>
      </c>
      <c r="J2256" s="42">
        <v>3.7353873000000003E-2</v>
      </c>
      <c r="K2256" s="42">
        <v>6.6736979E-3</v>
      </c>
      <c r="L2256" s="44">
        <v>6.7123364408999997</v>
      </c>
    </row>
    <row r="2257" spans="1:12" hidden="1">
      <c r="A2257" s="37" t="s">
        <v>3083</v>
      </c>
      <c r="B2257" s="37"/>
      <c r="C2257" s="37" t="s">
        <v>873</v>
      </c>
      <c r="D2257" s="64">
        <v>26061</v>
      </c>
      <c r="E2257" s="38">
        <v>3.52</v>
      </c>
      <c r="F2257" s="39">
        <v>6.5295133999999999</v>
      </c>
      <c r="G2257" s="38">
        <v>0</v>
      </c>
      <c r="H2257" s="38">
        <v>0.22504651000000001</v>
      </c>
      <c r="I2257" s="38">
        <v>1.2767107</v>
      </c>
      <c r="J2257" s="38">
        <v>4.5611246000000001E-2</v>
      </c>
      <c r="K2257" s="38">
        <v>9.4039550999999999E-2</v>
      </c>
      <c r="L2257" s="40">
        <v>8.1709214069999998</v>
      </c>
    </row>
    <row r="2258" spans="1:12" hidden="1">
      <c r="A2258" s="37" t="s">
        <v>3084</v>
      </c>
      <c r="B2258" s="37"/>
      <c r="C2258" s="37" t="s">
        <v>826</v>
      </c>
      <c r="D2258" s="64">
        <v>26058</v>
      </c>
      <c r="E2258" s="38">
        <v>3.64</v>
      </c>
      <c r="F2258" s="39">
        <v>5.3474227000000001</v>
      </c>
      <c r="G2258" s="38">
        <v>0</v>
      </c>
      <c r="H2258" s="38">
        <v>0.27530876999999998</v>
      </c>
      <c r="I2258" s="38">
        <v>1.0455774</v>
      </c>
      <c r="J2258" s="38">
        <v>3.7353873000000003E-2</v>
      </c>
      <c r="K2258" s="38">
        <v>6.6736979E-3</v>
      </c>
      <c r="L2258" s="40">
        <v>6.7123364408999997</v>
      </c>
    </row>
    <row r="2259" spans="1:12" hidden="1">
      <c r="A2259" s="37" t="s">
        <v>3085</v>
      </c>
      <c r="B2259" s="37"/>
      <c r="C2259" s="37" t="s">
        <v>873</v>
      </c>
      <c r="D2259" s="64">
        <v>26059</v>
      </c>
      <c r="E2259" s="38">
        <v>3.52</v>
      </c>
      <c r="F2259" s="39">
        <v>6.5295133999999999</v>
      </c>
      <c r="G2259" s="38">
        <v>0</v>
      </c>
      <c r="H2259" s="38">
        <v>0.22504651000000001</v>
      </c>
      <c r="I2259" s="38">
        <v>1.2767107</v>
      </c>
      <c r="J2259" s="38">
        <v>4.5611246000000001E-2</v>
      </c>
      <c r="K2259" s="38">
        <v>9.4039550999999999E-2</v>
      </c>
      <c r="L2259" s="40">
        <v>8.1709214069999998</v>
      </c>
    </row>
    <row r="2260" spans="1:12" hidden="1">
      <c r="A2260" s="37" t="s">
        <v>3086</v>
      </c>
      <c r="B2260" s="37"/>
      <c r="C2260" s="37" t="s">
        <v>873</v>
      </c>
      <c r="D2260" s="64">
        <v>26062</v>
      </c>
      <c r="E2260" s="38">
        <v>3.52</v>
      </c>
      <c r="F2260" s="39">
        <v>6.5412857999999998</v>
      </c>
      <c r="G2260" s="38">
        <v>1.2618731E-3</v>
      </c>
      <c r="H2260" s="38">
        <v>0.22495896000000001</v>
      </c>
      <c r="I2260" s="38">
        <v>1.2774506999999999</v>
      </c>
      <c r="J2260" s="38">
        <v>4.5611246000000001E-2</v>
      </c>
      <c r="K2260" s="38">
        <v>0.11549598</v>
      </c>
      <c r="L2260" s="40">
        <v>8.2060645590999997</v>
      </c>
    </row>
    <row r="2261" spans="1:12" hidden="1">
      <c r="A2261" s="37" t="s">
        <v>3087</v>
      </c>
      <c r="B2261" s="37"/>
      <c r="C2261" s="37" t="s">
        <v>873</v>
      </c>
      <c r="D2261" s="64">
        <v>26248</v>
      </c>
      <c r="E2261" s="38">
        <v>3.52</v>
      </c>
      <c r="F2261" s="39">
        <v>6.5295133999999999</v>
      </c>
      <c r="G2261" s="38">
        <v>0</v>
      </c>
      <c r="H2261" s="38">
        <v>0.22504651000000001</v>
      </c>
      <c r="I2261" s="38">
        <v>1.2767107</v>
      </c>
      <c r="J2261" s="38">
        <v>4.5611246000000001E-2</v>
      </c>
      <c r="K2261" s="38">
        <v>9.4039550999999999E-2</v>
      </c>
      <c r="L2261" s="40">
        <v>8.1709214069999998</v>
      </c>
    </row>
    <row r="2262" spans="1:12" hidden="1">
      <c r="A2262" s="37" t="s">
        <v>3088</v>
      </c>
      <c r="B2262" s="37"/>
      <c r="C2262" s="37" t="s">
        <v>873</v>
      </c>
      <c r="D2262" s="64">
        <v>26060</v>
      </c>
      <c r="E2262" s="38">
        <v>3.64</v>
      </c>
      <c r="F2262" s="39">
        <v>5.3474227000000001</v>
      </c>
      <c r="G2262" s="38">
        <v>0</v>
      </c>
      <c r="H2262" s="38">
        <v>0.18430452</v>
      </c>
      <c r="I2262" s="38">
        <v>1.0455774</v>
      </c>
      <c r="J2262" s="38">
        <v>3.7353873000000003E-2</v>
      </c>
      <c r="K2262" s="38">
        <v>6.6736979E-3</v>
      </c>
      <c r="L2262" s="40">
        <v>6.6213321909000005</v>
      </c>
    </row>
    <row r="2263" spans="1:12" hidden="1">
      <c r="A2263" s="37" t="s">
        <v>3089</v>
      </c>
      <c r="B2263" s="37"/>
      <c r="C2263" s="37" t="s">
        <v>894</v>
      </c>
      <c r="D2263" s="64">
        <v>9640</v>
      </c>
      <c r="E2263" s="38">
        <v>3.97</v>
      </c>
      <c r="F2263" s="39">
        <v>0.36623476999999999</v>
      </c>
      <c r="G2263" s="38">
        <v>3.5341944000000002E-3</v>
      </c>
      <c r="H2263" s="38">
        <v>0.10086320999999999</v>
      </c>
      <c r="I2263" s="38">
        <v>0.16396221</v>
      </c>
      <c r="J2263" s="38">
        <v>1.6060356000000001E-2</v>
      </c>
      <c r="K2263" s="38">
        <v>0</v>
      </c>
      <c r="L2263" s="40">
        <v>0.65065474039999993</v>
      </c>
    </row>
    <row r="2264" spans="1:12" hidden="1">
      <c r="A2264" s="41" t="s">
        <v>3090</v>
      </c>
      <c r="B2264" s="41"/>
      <c r="C2264" s="41" t="s">
        <v>894</v>
      </c>
      <c r="D2264" s="65">
        <v>9621</v>
      </c>
      <c r="E2264" s="42">
        <v>2.68</v>
      </c>
      <c r="F2264" s="43">
        <v>0.19030931000000001</v>
      </c>
      <c r="G2264" s="42">
        <v>1.5200012000000001E-2</v>
      </c>
      <c r="H2264" s="42">
        <v>7.8319246999999995E-3</v>
      </c>
      <c r="I2264" s="42">
        <v>9.9389861999999995E-2</v>
      </c>
      <c r="J2264" s="42">
        <v>1.6060356000000001E-2</v>
      </c>
      <c r="K2264" s="42">
        <v>0</v>
      </c>
      <c r="L2264" s="44">
        <v>0.32879146469999998</v>
      </c>
    </row>
    <row r="2265" spans="1:12" hidden="1">
      <c r="A2265" s="37" t="s">
        <v>3091</v>
      </c>
      <c r="B2265" s="37"/>
      <c r="C2265" s="37" t="s">
        <v>894</v>
      </c>
      <c r="D2265" s="64">
        <v>9641</v>
      </c>
      <c r="E2265" s="38">
        <v>3.09</v>
      </c>
      <c r="F2265" s="39">
        <v>0.19556181</v>
      </c>
      <c r="G2265" s="38">
        <v>3.5341944000000002E-3</v>
      </c>
      <c r="H2265" s="38">
        <v>0.10086320999999999</v>
      </c>
      <c r="I2265" s="38">
        <v>0.16396221</v>
      </c>
      <c r="J2265" s="38">
        <v>1.6060356000000001E-2</v>
      </c>
      <c r="K2265" s="38">
        <v>0</v>
      </c>
      <c r="L2265" s="40">
        <v>0.4799817804</v>
      </c>
    </row>
    <row r="2266" spans="1:12" hidden="1">
      <c r="A2266" s="41" t="s">
        <v>3092</v>
      </c>
      <c r="B2266" s="41"/>
      <c r="C2266" s="41" t="s">
        <v>894</v>
      </c>
      <c r="D2266" s="65">
        <v>9643</v>
      </c>
      <c r="E2266" s="42">
        <v>3.27</v>
      </c>
      <c r="F2266" s="43">
        <v>1.0691396</v>
      </c>
      <c r="G2266" s="42">
        <v>3.5341944000000002E-3</v>
      </c>
      <c r="H2266" s="42">
        <v>0.10086320999999999</v>
      </c>
      <c r="I2266" s="42">
        <v>0.25481952000000002</v>
      </c>
      <c r="J2266" s="42">
        <v>1.6060356000000001E-2</v>
      </c>
      <c r="K2266" s="42">
        <v>0</v>
      </c>
      <c r="L2266" s="44">
        <v>1.4444168804000002</v>
      </c>
    </row>
    <row r="2267" spans="1:12" hidden="1">
      <c r="A2267" s="41" t="s">
        <v>3093</v>
      </c>
      <c r="B2267" s="41"/>
      <c r="C2267" s="41" t="s">
        <v>1877</v>
      </c>
      <c r="D2267" s="65">
        <v>31013</v>
      </c>
      <c r="E2267" s="42">
        <v>3.16</v>
      </c>
      <c r="F2267" s="43">
        <v>0.23308208999999999</v>
      </c>
      <c r="G2267" s="42">
        <v>0.17999112</v>
      </c>
      <c r="H2267" s="42">
        <v>0.26251234000000001</v>
      </c>
      <c r="I2267" s="42">
        <v>0.30180116000000001</v>
      </c>
      <c r="J2267" s="42">
        <v>6.5229756E-2</v>
      </c>
      <c r="K2267" s="42">
        <v>2.5251829999999999E-2</v>
      </c>
      <c r="L2267" s="44">
        <v>1.0678682959999999</v>
      </c>
    </row>
    <row r="2268" spans="1:12" hidden="1">
      <c r="A2268" s="41" t="s">
        <v>3094</v>
      </c>
      <c r="B2268" s="41"/>
      <c r="C2268" s="41" t="s">
        <v>1877</v>
      </c>
      <c r="D2268" s="65">
        <v>39524</v>
      </c>
      <c r="E2268" s="42">
        <v>3.16</v>
      </c>
      <c r="F2268" s="43">
        <v>0.23308208999999999</v>
      </c>
      <c r="G2268" s="42">
        <v>0.17999112</v>
      </c>
      <c r="H2268" s="42">
        <v>0.18042667000000001</v>
      </c>
      <c r="I2268" s="42">
        <v>0.30180116000000001</v>
      </c>
      <c r="J2268" s="42">
        <v>6.5229756E-2</v>
      </c>
      <c r="K2268" s="42">
        <v>2.5251829999999999E-2</v>
      </c>
      <c r="L2268" s="44">
        <v>0.985782626</v>
      </c>
    </row>
    <row r="2269" spans="1:12" hidden="1">
      <c r="A2269" s="41" t="s">
        <v>3095</v>
      </c>
      <c r="B2269" s="41"/>
      <c r="C2269" s="41" t="s">
        <v>816</v>
      </c>
      <c r="D2269" s="65">
        <v>9360</v>
      </c>
      <c r="E2269" s="42">
        <v>3.45</v>
      </c>
      <c r="F2269" s="43">
        <v>0.21865920999999999</v>
      </c>
      <c r="G2269" s="42">
        <v>0</v>
      </c>
      <c r="H2269" s="42">
        <v>0.26506589000000003</v>
      </c>
      <c r="I2269" s="42">
        <v>0.13112868999999999</v>
      </c>
      <c r="J2269" s="42">
        <v>1.606076E-2</v>
      </c>
      <c r="K2269" s="42">
        <v>0</v>
      </c>
      <c r="L2269" s="44">
        <v>0.63091454999999996</v>
      </c>
    </row>
    <row r="2270" spans="1:12" hidden="1">
      <c r="A2270" s="37" t="s">
        <v>3096</v>
      </c>
      <c r="B2270" s="37"/>
      <c r="C2270" s="37" t="s">
        <v>811</v>
      </c>
      <c r="D2270" s="64">
        <v>25020</v>
      </c>
      <c r="E2270" s="38">
        <v>1.78</v>
      </c>
      <c r="F2270" s="39">
        <v>2.3062038999999999</v>
      </c>
      <c r="G2270" s="38">
        <v>0.23825439000000001</v>
      </c>
      <c r="H2270" s="38">
        <v>0.10404149</v>
      </c>
      <c r="I2270" s="38">
        <v>0.22263995</v>
      </c>
      <c r="J2270" s="38">
        <v>3.7768032999999999E-2</v>
      </c>
      <c r="K2270" s="38">
        <v>1.7696322E-2</v>
      </c>
      <c r="L2270" s="40">
        <v>2.9266040849999997</v>
      </c>
    </row>
    <row r="2271" spans="1:12" hidden="1">
      <c r="A2271" s="41" t="s">
        <v>3097</v>
      </c>
      <c r="B2271" s="41"/>
      <c r="C2271" s="41" t="s">
        <v>1109</v>
      </c>
      <c r="D2271" s="65">
        <v>25913</v>
      </c>
      <c r="E2271" s="42">
        <v>2.42</v>
      </c>
      <c r="F2271" s="43">
        <v>5.2097201000000003E-2</v>
      </c>
      <c r="G2271" s="42">
        <v>0.1457678</v>
      </c>
      <c r="H2271" s="42">
        <v>9.9850469999999997E-2</v>
      </c>
      <c r="I2271" s="42">
        <v>0.12585400999999999</v>
      </c>
      <c r="J2271" s="42">
        <v>1.5675970000000001E-2</v>
      </c>
      <c r="K2271" s="42">
        <v>1.1022624E-2</v>
      </c>
      <c r="L2271" s="44">
        <v>0.45026807499999999</v>
      </c>
    </row>
    <row r="2272" spans="1:12" hidden="1">
      <c r="A2272" s="41" t="s">
        <v>3098</v>
      </c>
      <c r="B2272" s="41"/>
      <c r="C2272" s="41" t="s">
        <v>1109</v>
      </c>
      <c r="D2272" s="65">
        <v>25949</v>
      </c>
      <c r="E2272" s="42">
        <v>2.83</v>
      </c>
      <c r="F2272" s="43">
        <v>0.13463807</v>
      </c>
      <c r="G2272" s="42">
        <v>0.34659094000000001</v>
      </c>
      <c r="H2272" s="42">
        <v>5.5184246000000003E-3</v>
      </c>
      <c r="I2272" s="42">
        <v>4.0812594000000001E-2</v>
      </c>
      <c r="J2272" s="42">
        <v>8.6636209000000004E-4</v>
      </c>
      <c r="K2272" s="42">
        <v>1.1214382E-2</v>
      </c>
      <c r="L2272" s="44">
        <v>0.5396407726900001</v>
      </c>
    </row>
    <row r="2273" spans="1:12" hidden="1">
      <c r="A2273" s="41" t="s">
        <v>3099</v>
      </c>
      <c r="B2273" s="41"/>
      <c r="C2273" s="41" t="s">
        <v>1109</v>
      </c>
      <c r="D2273" s="65">
        <v>25933</v>
      </c>
      <c r="E2273" s="42">
        <v>2.65</v>
      </c>
      <c r="F2273" s="43">
        <v>0.13466797</v>
      </c>
      <c r="G2273" s="42">
        <v>0.17917585999999999</v>
      </c>
      <c r="H2273" s="42">
        <v>9.9850469999999997E-2</v>
      </c>
      <c r="I2273" s="42">
        <v>0.14255578999999999</v>
      </c>
      <c r="J2273" s="42">
        <v>1.5675970000000001E-2</v>
      </c>
      <c r="K2273" s="42">
        <v>1.1022624E-2</v>
      </c>
      <c r="L2273" s="44">
        <v>0.58294868399999988</v>
      </c>
    </row>
    <row r="2274" spans="1:12" hidden="1">
      <c r="A2274" s="41" t="s">
        <v>3100</v>
      </c>
      <c r="B2274" s="41"/>
      <c r="C2274" s="41" t="s">
        <v>1109</v>
      </c>
      <c r="D2274" s="65">
        <v>25935</v>
      </c>
      <c r="E2274" s="42">
        <v>2.83</v>
      </c>
      <c r="F2274" s="43">
        <v>3.1791385999999998E-2</v>
      </c>
      <c r="G2274" s="42">
        <v>0.30813447999999999</v>
      </c>
      <c r="H2274" s="42">
        <v>5.5184246000000003E-3</v>
      </c>
      <c r="I2274" s="42">
        <v>1.6369740000000001E-2</v>
      </c>
      <c r="J2274" s="42">
        <v>8.6636209000000004E-4</v>
      </c>
      <c r="K2274" s="42">
        <v>1.1214382E-2</v>
      </c>
      <c r="L2274" s="44">
        <v>0.37389477469000004</v>
      </c>
    </row>
    <row r="2275" spans="1:12" hidden="1">
      <c r="A2275" s="41" t="s">
        <v>3101</v>
      </c>
      <c r="B2275" s="41"/>
      <c r="C2275" s="41" t="s">
        <v>1109</v>
      </c>
      <c r="D2275" s="65">
        <v>25914</v>
      </c>
      <c r="E2275" s="42">
        <v>2.59</v>
      </c>
      <c r="F2275" s="43">
        <v>3.1798445000000002E-2</v>
      </c>
      <c r="G2275" s="42">
        <v>0.14071085999999999</v>
      </c>
      <c r="H2275" s="42">
        <v>9.9850469999999997E-2</v>
      </c>
      <c r="I2275" s="42">
        <v>0.11810751</v>
      </c>
      <c r="J2275" s="42">
        <v>1.5675970000000001E-2</v>
      </c>
      <c r="K2275" s="42">
        <v>1.1022624E-2</v>
      </c>
      <c r="L2275" s="44">
        <v>0.41716587899999991</v>
      </c>
    </row>
    <row r="2276" spans="1:12" hidden="1">
      <c r="A2276" s="41" t="s">
        <v>3102</v>
      </c>
      <c r="B2276" s="41"/>
      <c r="C2276" s="41" t="s">
        <v>1109</v>
      </c>
      <c r="D2276" s="65">
        <v>25928</v>
      </c>
      <c r="E2276" s="42">
        <v>2.89</v>
      </c>
      <c r="F2276" s="43">
        <v>5.0193057999999999E-2</v>
      </c>
      <c r="G2276" s="42">
        <v>3.3497405000000001E-2</v>
      </c>
      <c r="H2276" s="42">
        <v>5.5184246000000003E-3</v>
      </c>
      <c r="I2276" s="42">
        <v>3.1822040000000003E-2</v>
      </c>
      <c r="J2276" s="42">
        <v>8.6636209000000004E-4</v>
      </c>
      <c r="K2276" s="42">
        <v>1.1214382E-2</v>
      </c>
      <c r="L2276" s="44">
        <v>0.13311167169000002</v>
      </c>
    </row>
    <row r="2277" spans="1:12" hidden="1">
      <c r="A2277" s="41" t="s">
        <v>3103</v>
      </c>
      <c r="B2277" s="41"/>
      <c r="C2277" s="41" t="s">
        <v>1109</v>
      </c>
      <c r="D2277" s="65">
        <v>25901</v>
      </c>
      <c r="E2277" s="42">
        <v>3.31</v>
      </c>
      <c r="F2277" s="43">
        <v>5.0193057999999999E-2</v>
      </c>
      <c r="G2277" s="42">
        <v>3.3497405000000001E-2</v>
      </c>
      <c r="H2277" s="42">
        <v>5.5184246000000003E-3</v>
      </c>
      <c r="I2277" s="42">
        <v>3.1822040000000003E-2</v>
      </c>
      <c r="J2277" s="42">
        <v>8.6636209000000004E-4</v>
      </c>
      <c r="K2277" s="42">
        <v>1.1214382E-2</v>
      </c>
      <c r="L2277" s="44">
        <v>0.13311167169000002</v>
      </c>
    </row>
    <row r="2278" spans="1:12" hidden="1">
      <c r="A2278" s="41" t="s">
        <v>3104</v>
      </c>
      <c r="B2278" s="41"/>
      <c r="C2278" s="41" t="s">
        <v>1109</v>
      </c>
      <c r="D2278" s="65">
        <v>25950</v>
      </c>
      <c r="E2278" s="42">
        <v>2.94</v>
      </c>
      <c r="F2278" s="43">
        <v>0.47525795999999998</v>
      </c>
      <c r="G2278" s="42">
        <v>0.41405502</v>
      </c>
      <c r="H2278" s="42">
        <v>5.5184246000000003E-3</v>
      </c>
      <c r="I2278" s="42">
        <v>5.0422789000000003E-2</v>
      </c>
      <c r="J2278" s="42">
        <v>8.6636209000000004E-4</v>
      </c>
      <c r="K2278" s="42">
        <v>1.1214382E-2</v>
      </c>
      <c r="L2278" s="44">
        <v>0.95733493768999989</v>
      </c>
    </row>
    <row r="2279" spans="1:12" hidden="1">
      <c r="A2279" s="41" t="s">
        <v>3105</v>
      </c>
      <c r="B2279" s="41"/>
      <c r="C2279" s="41" t="s">
        <v>1109</v>
      </c>
      <c r="D2279" s="65">
        <v>25908</v>
      </c>
      <c r="E2279" s="42">
        <v>2.4500000000000002</v>
      </c>
      <c r="F2279" s="43">
        <v>0.47536349999999999</v>
      </c>
      <c r="G2279" s="42">
        <v>0.24665492000000003</v>
      </c>
      <c r="H2279" s="42">
        <v>9.9850469999999997E-2</v>
      </c>
      <c r="I2279" s="42">
        <v>0.15216811999999999</v>
      </c>
      <c r="J2279" s="42">
        <v>1.5675970000000001E-2</v>
      </c>
      <c r="K2279" s="42">
        <v>1.1022624E-2</v>
      </c>
      <c r="L2279" s="44">
        <v>1.0007356040000002</v>
      </c>
    </row>
    <row r="2280" spans="1:12" hidden="1">
      <c r="A2280" s="41" t="s">
        <v>3106</v>
      </c>
      <c r="B2280" s="41"/>
      <c r="C2280" s="41" t="s">
        <v>1109</v>
      </c>
      <c r="D2280" s="65">
        <v>25942</v>
      </c>
      <c r="E2280" s="42">
        <v>2.5</v>
      </c>
      <c r="F2280" s="43">
        <v>1.0721818000000001</v>
      </c>
      <c r="G2280" s="42">
        <v>0.75775756000000005</v>
      </c>
      <c r="H2280" s="42">
        <v>5.5321791000000004E-3</v>
      </c>
      <c r="I2280" s="42">
        <v>0.33553322000000002</v>
      </c>
      <c r="J2280" s="42">
        <v>8.6636209000000004E-4</v>
      </c>
      <c r="K2280" s="42">
        <v>1.1214382E-2</v>
      </c>
      <c r="L2280" s="44">
        <v>2.1830855031900001</v>
      </c>
    </row>
    <row r="2281" spans="1:12" hidden="1">
      <c r="A2281" s="41" t="s">
        <v>3107</v>
      </c>
      <c r="B2281" s="41"/>
      <c r="C2281" s="41" t="s">
        <v>1109</v>
      </c>
      <c r="D2281" s="65">
        <v>25910</v>
      </c>
      <c r="E2281" s="42">
        <v>2.0099999999999998</v>
      </c>
      <c r="F2281" s="43">
        <v>1.0724199000000001</v>
      </c>
      <c r="G2281" s="42">
        <v>0.59043378000000002</v>
      </c>
      <c r="H2281" s="42">
        <v>9.9864227E-2</v>
      </c>
      <c r="I2281" s="42">
        <v>0.43734187000000002</v>
      </c>
      <c r="J2281" s="42">
        <v>1.5675970000000001E-2</v>
      </c>
      <c r="K2281" s="42">
        <v>1.1022624E-2</v>
      </c>
      <c r="L2281" s="44">
        <v>2.2267583710000003</v>
      </c>
    </row>
    <row r="2282" spans="1:12" hidden="1">
      <c r="A2282" s="41" t="s">
        <v>3108</v>
      </c>
      <c r="B2282" s="41"/>
      <c r="C2282" s="41" t="s">
        <v>1109</v>
      </c>
      <c r="D2282" s="65">
        <v>25923</v>
      </c>
      <c r="E2282" s="42">
        <v>2.9</v>
      </c>
      <c r="F2282" s="43">
        <v>5.4592733000000004</v>
      </c>
      <c r="G2282" s="42">
        <v>0.76840699000000001</v>
      </c>
      <c r="H2282" s="42">
        <v>5.5184246000000003E-3</v>
      </c>
      <c r="I2282" s="42">
        <v>0.36121807</v>
      </c>
      <c r="J2282" s="42">
        <v>8.6636209000000004E-4</v>
      </c>
      <c r="K2282" s="42">
        <v>1.1214382E-2</v>
      </c>
      <c r="L2282" s="44">
        <v>6.6064975286900003</v>
      </c>
    </row>
    <row r="2283" spans="1:12" hidden="1">
      <c r="A2283" s="41" t="s">
        <v>3109</v>
      </c>
      <c r="B2283" s="41"/>
      <c r="C2283" s="41" t="s">
        <v>1109</v>
      </c>
      <c r="D2283" s="65">
        <v>25955</v>
      </c>
      <c r="E2283" s="42">
        <v>2.78</v>
      </c>
      <c r="F2283" s="43">
        <v>5.4604856000000002</v>
      </c>
      <c r="G2283" s="42">
        <v>0.60108558000000001</v>
      </c>
      <c r="H2283" s="42">
        <v>9.9850469999999997E-2</v>
      </c>
      <c r="I2283" s="42">
        <v>0.46303242</v>
      </c>
      <c r="J2283" s="42">
        <v>1.5675970000000001E-2</v>
      </c>
      <c r="K2283" s="42">
        <v>1.1022624E-2</v>
      </c>
      <c r="L2283" s="44">
        <v>6.6511526640000005</v>
      </c>
    </row>
    <row r="2284" spans="1:12" hidden="1">
      <c r="A2284" s="41" t="s">
        <v>3110</v>
      </c>
      <c r="B2284" s="41"/>
      <c r="C2284" s="41" t="s">
        <v>1109</v>
      </c>
      <c r="D2284" s="65">
        <v>25957</v>
      </c>
      <c r="E2284" s="42">
        <v>2.69</v>
      </c>
      <c r="F2284" s="43">
        <v>0.14966380000000001</v>
      </c>
      <c r="G2284" s="42">
        <v>0.33491967</v>
      </c>
      <c r="H2284" s="42">
        <v>5.5184246000000003E-3</v>
      </c>
      <c r="I2284" s="42">
        <v>1.8367792000000001E-2</v>
      </c>
      <c r="J2284" s="42">
        <v>8.6636209000000004E-4</v>
      </c>
      <c r="K2284" s="42">
        <v>1.1214382E-2</v>
      </c>
      <c r="L2284" s="44">
        <v>0.52055043069000007</v>
      </c>
    </row>
    <row r="2285" spans="1:12" hidden="1">
      <c r="A2285" s="41" t="s">
        <v>3111</v>
      </c>
      <c r="B2285" s="41"/>
      <c r="C2285" s="41" t="s">
        <v>1109</v>
      </c>
      <c r="D2285" s="65">
        <v>25958</v>
      </c>
      <c r="E2285" s="42">
        <v>2.4</v>
      </c>
      <c r="F2285" s="43">
        <v>0.14969704</v>
      </c>
      <c r="G2285" s="42">
        <v>0.16750200000000001</v>
      </c>
      <c r="H2285" s="42">
        <v>9.9850469999999997E-2</v>
      </c>
      <c r="I2285" s="42">
        <v>0.12010601</v>
      </c>
      <c r="J2285" s="42">
        <v>1.5675970000000001E-2</v>
      </c>
      <c r="K2285" s="42">
        <v>1.1022624E-2</v>
      </c>
      <c r="L2285" s="44">
        <v>0.56385411399999996</v>
      </c>
    </row>
    <row r="2286" spans="1:12" hidden="1">
      <c r="A2286" s="41" t="s">
        <v>3112</v>
      </c>
      <c r="B2286" s="41"/>
      <c r="C2286" s="41" t="s">
        <v>1109</v>
      </c>
      <c r="D2286" s="65">
        <v>25917</v>
      </c>
      <c r="E2286" s="42">
        <v>2.64</v>
      </c>
      <c r="F2286" s="43">
        <v>0.11003933</v>
      </c>
      <c r="G2286" s="42">
        <v>0.31647638</v>
      </c>
      <c r="H2286" s="42">
        <v>5.5184246000000003E-3</v>
      </c>
      <c r="I2286" s="42">
        <v>3.0918431999999999E-2</v>
      </c>
      <c r="J2286" s="42">
        <v>8.6636209000000004E-4</v>
      </c>
      <c r="K2286" s="42">
        <v>1.1214382E-2</v>
      </c>
      <c r="L2286" s="44">
        <v>0.47503331069000004</v>
      </c>
    </row>
    <row r="2287" spans="1:12" hidden="1">
      <c r="A2287" s="41" t="s">
        <v>3113</v>
      </c>
      <c r="B2287" s="41"/>
      <c r="C2287" s="41" t="s">
        <v>1109</v>
      </c>
      <c r="D2287" s="65">
        <v>25953</v>
      </c>
      <c r="E2287" s="42">
        <v>2.08</v>
      </c>
      <c r="F2287" s="43">
        <v>0.11006377000000001</v>
      </c>
      <c r="G2287" s="42">
        <v>0.14905461</v>
      </c>
      <c r="H2287" s="42">
        <v>9.9850469999999997E-2</v>
      </c>
      <c r="I2287" s="42">
        <v>0.13265942999999999</v>
      </c>
      <c r="J2287" s="42">
        <v>1.5675970000000001E-2</v>
      </c>
      <c r="K2287" s="42">
        <v>1.1022624E-2</v>
      </c>
      <c r="L2287" s="44">
        <v>0.51832687399999999</v>
      </c>
    </row>
    <row r="2288" spans="1:12" hidden="1">
      <c r="A2288" s="41" t="s">
        <v>3114</v>
      </c>
      <c r="B2288" s="41"/>
      <c r="C2288" s="41" t="s">
        <v>1109</v>
      </c>
      <c r="D2288" s="65">
        <v>25954</v>
      </c>
      <c r="E2288" s="42">
        <v>2.69</v>
      </c>
      <c r="F2288" s="43">
        <v>0.30142826</v>
      </c>
      <c r="G2288" s="42">
        <v>0.34836989000000002</v>
      </c>
      <c r="H2288" s="42">
        <v>5.5184246000000003E-3</v>
      </c>
      <c r="I2288" s="42">
        <v>2.8837429000000001E-2</v>
      </c>
      <c r="J2288" s="42">
        <v>8.6636209000000004E-4</v>
      </c>
      <c r="K2288" s="42">
        <v>1.1214382E-2</v>
      </c>
      <c r="L2288" s="44">
        <v>0.69623474769000004</v>
      </c>
    </row>
    <row r="2289" spans="1:12" hidden="1">
      <c r="A2289" s="41" t="s">
        <v>3115</v>
      </c>
      <c r="B2289" s="41"/>
      <c r="C2289" s="41" t="s">
        <v>1109</v>
      </c>
      <c r="D2289" s="65">
        <v>25945</v>
      </c>
      <c r="E2289" s="42">
        <v>2.4</v>
      </c>
      <c r="F2289" s="43">
        <v>0.30149519000000002</v>
      </c>
      <c r="G2289" s="42">
        <v>0.18095520000000001</v>
      </c>
      <c r="H2289" s="42">
        <v>9.9850469999999997E-2</v>
      </c>
      <c r="I2289" s="42">
        <v>0.13057796999999999</v>
      </c>
      <c r="J2289" s="42">
        <v>1.5675970000000001E-2</v>
      </c>
      <c r="K2289" s="42">
        <v>1.1022624E-2</v>
      </c>
      <c r="L2289" s="44">
        <v>0.73957742399999993</v>
      </c>
    </row>
    <row r="2290" spans="1:12" hidden="1">
      <c r="A2290" s="41" t="s">
        <v>3116</v>
      </c>
      <c r="B2290" s="41"/>
      <c r="C2290" s="41" t="s">
        <v>1109</v>
      </c>
      <c r="D2290" s="65">
        <v>25932</v>
      </c>
      <c r="E2290" s="42">
        <v>2.5</v>
      </c>
      <c r="F2290" s="43">
        <v>0.61294669999999996</v>
      </c>
      <c r="G2290" s="42">
        <v>0.60075794999999999</v>
      </c>
      <c r="H2290" s="42">
        <v>5.5184246000000003E-3</v>
      </c>
      <c r="I2290" s="42">
        <v>0.2210761</v>
      </c>
      <c r="J2290" s="42">
        <v>8.6636209000000004E-4</v>
      </c>
      <c r="K2290" s="42">
        <v>1.1214382E-2</v>
      </c>
      <c r="L2290" s="44">
        <v>1.4523799186899997</v>
      </c>
    </row>
    <row r="2291" spans="1:12" hidden="1">
      <c r="A2291" s="41" t="s">
        <v>3117</v>
      </c>
      <c r="B2291" s="41"/>
      <c r="C2291" s="41" t="s">
        <v>1109</v>
      </c>
      <c r="D2291" s="65">
        <v>25968</v>
      </c>
      <c r="E2291" s="42">
        <v>2.0099999999999998</v>
      </c>
      <c r="F2291" s="43">
        <v>0.61308282000000003</v>
      </c>
      <c r="G2291" s="42">
        <v>0.43339930999999998</v>
      </c>
      <c r="H2291" s="42">
        <v>9.9850469999999997E-2</v>
      </c>
      <c r="I2291" s="42">
        <v>0.32285933</v>
      </c>
      <c r="J2291" s="42">
        <v>1.5675970000000001E-2</v>
      </c>
      <c r="K2291" s="42">
        <v>1.1022624E-2</v>
      </c>
      <c r="L2291" s="44">
        <v>1.495890524</v>
      </c>
    </row>
    <row r="2292" spans="1:12" hidden="1">
      <c r="A2292" s="41" t="s">
        <v>3118</v>
      </c>
      <c r="B2292" s="41"/>
      <c r="C2292" s="41" t="s">
        <v>1109</v>
      </c>
      <c r="D2292" s="65">
        <v>25934</v>
      </c>
      <c r="E2292" s="42">
        <v>3.07</v>
      </c>
      <c r="F2292" s="43">
        <v>0.13463807</v>
      </c>
      <c r="G2292" s="42">
        <v>0.34659094000000001</v>
      </c>
      <c r="H2292" s="42">
        <v>5.5184246000000003E-3</v>
      </c>
      <c r="I2292" s="42">
        <v>4.0812594000000001E-2</v>
      </c>
      <c r="J2292" s="42">
        <v>8.6636209000000004E-4</v>
      </c>
      <c r="K2292" s="42">
        <v>1.1214382E-2</v>
      </c>
      <c r="L2292" s="44">
        <v>0.5396407726900001</v>
      </c>
    </row>
    <row r="2293" spans="1:12" hidden="1">
      <c r="A2293" s="41" t="s">
        <v>3119</v>
      </c>
      <c r="B2293" s="41"/>
      <c r="C2293" s="41" t="s">
        <v>1109</v>
      </c>
      <c r="D2293" s="65">
        <v>25936</v>
      </c>
      <c r="E2293" s="42">
        <v>2.5</v>
      </c>
      <c r="F2293" s="43">
        <v>2.6504298999999998</v>
      </c>
      <c r="G2293" s="42">
        <v>0.62951089000000005</v>
      </c>
      <c r="H2293" s="42">
        <v>5.5184246000000003E-3</v>
      </c>
      <c r="I2293" s="42">
        <v>0.2561234</v>
      </c>
      <c r="J2293" s="42">
        <v>8.6636209000000004E-4</v>
      </c>
      <c r="K2293" s="42">
        <v>1.1214382E-2</v>
      </c>
      <c r="L2293" s="44">
        <v>3.5536633586899997</v>
      </c>
    </row>
    <row r="2294" spans="1:12" hidden="1">
      <c r="A2294" s="41" t="s">
        <v>3120</v>
      </c>
      <c r="B2294" s="41"/>
      <c r="C2294" s="41" t="s">
        <v>1109</v>
      </c>
      <c r="D2294" s="65">
        <v>25912</v>
      </c>
      <c r="E2294" s="42">
        <v>2.16</v>
      </c>
      <c r="F2294" s="43">
        <v>2.6510185000000002</v>
      </c>
      <c r="G2294" s="42">
        <v>0.46215864000000001</v>
      </c>
      <c r="H2294" s="42">
        <v>9.9850469999999997E-2</v>
      </c>
      <c r="I2294" s="42">
        <v>0.35791442000000001</v>
      </c>
      <c r="J2294" s="42">
        <v>1.5675970000000001E-2</v>
      </c>
      <c r="K2294" s="42">
        <v>1.1022624E-2</v>
      </c>
      <c r="L2294" s="44">
        <v>3.5976406240000007</v>
      </c>
    </row>
    <row r="2295" spans="1:12" hidden="1">
      <c r="A2295" s="41" t="s">
        <v>3121</v>
      </c>
      <c r="B2295" s="41"/>
      <c r="C2295" s="41" t="s">
        <v>1109</v>
      </c>
      <c r="D2295" s="65">
        <v>25962</v>
      </c>
      <c r="E2295" s="42">
        <v>2.0299999999999998</v>
      </c>
      <c r="F2295" s="43">
        <v>0.78124112999999995</v>
      </c>
      <c r="G2295" s="42">
        <v>0.19854614000000001</v>
      </c>
      <c r="H2295" s="42">
        <v>9.9850469999999997E-2</v>
      </c>
      <c r="I2295" s="42">
        <v>0.1306628</v>
      </c>
      <c r="J2295" s="42">
        <v>1.5675970000000001E-2</v>
      </c>
      <c r="K2295" s="42">
        <v>1.1022624E-2</v>
      </c>
      <c r="L2295" s="44">
        <v>1.2369991339999999</v>
      </c>
    </row>
    <row r="2296" spans="1:12" hidden="1">
      <c r="A2296" s="41" t="s">
        <v>3122</v>
      </c>
      <c r="B2296" s="41"/>
      <c r="C2296" s="41" t="s">
        <v>1109</v>
      </c>
      <c r="D2296" s="65">
        <v>25905</v>
      </c>
      <c r="E2296" s="42">
        <v>2.72</v>
      </c>
      <c r="F2296" s="43">
        <v>0.10368993</v>
      </c>
      <c r="G2296" s="42">
        <v>0.31724682999999998</v>
      </c>
      <c r="H2296" s="42">
        <v>5.5184246000000003E-3</v>
      </c>
      <c r="I2296" s="42">
        <v>2.8253772E-2</v>
      </c>
      <c r="J2296" s="42">
        <v>8.6636209000000004E-4</v>
      </c>
      <c r="K2296" s="42">
        <v>1.1214382E-2</v>
      </c>
      <c r="L2296" s="44">
        <v>0.46678970069000003</v>
      </c>
    </row>
    <row r="2297" spans="1:12" hidden="1">
      <c r="A2297" s="41" t="s">
        <v>3123</v>
      </c>
      <c r="B2297" s="41"/>
      <c r="C2297" s="41" t="s">
        <v>1109</v>
      </c>
      <c r="D2297" s="65">
        <v>25903</v>
      </c>
      <c r="E2297" s="42">
        <v>2.42</v>
      </c>
      <c r="F2297" s="43">
        <v>0.10371296000000001</v>
      </c>
      <c r="G2297" s="42">
        <v>0.14982524</v>
      </c>
      <c r="H2297" s="42">
        <v>9.9850469999999997E-2</v>
      </c>
      <c r="I2297" s="42">
        <v>0.12999417999999999</v>
      </c>
      <c r="J2297" s="42">
        <v>1.5675970000000001E-2</v>
      </c>
      <c r="K2297" s="42">
        <v>1.1022624E-2</v>
      </c>
      <c r="L2297" s="44">
        <v>0.51008144399999988</v>
      </c>
    </row>
    <row r="2298" spans="1:12" hidden="1">
      <c r="A2298" s="41" t="s">
        <v>3124</v>
      </c>
      <c r="B2298" s="41"/>
      <c r="C2298" s="41" t="s">
        <v>1109</v>
      </c>
      <c r="D2298" s="65">
        <v>25964</v>
      </c>
      <c r="E2298" s="42">
        <v>2.5</v>
      </c>
      <c r="F2298" s="43">
        <v>0.33565011</v>
      </c>
      <c r="G2298" s="42">
        <v>0.50309192999999996</v>
      </c>
      <c r="H2298" s="42">
        <v>5.5184246000000003E-3</v>
      </c>
      <c r="I2298" s="42">
        <v>0.16177962000000001</v>
      </c>
      <c r="J2298" s="42">
        <v>8.6636209000000004E-4</v>
      </c>
      <c r="K2298" s="42">
        <v>1.1214382E-2</v>
      </c>
      <c r="L2298" s="44">
        <v>1.0181208286899999</v>
      </c>
    </row>
    <row r="2299" spans="1:12" hidden="1">
      <c r="A2299" s="41" t="s">
        <v>3125</v>
      </c>
      <c r="B2299" s="41"/>
      <c r="C2299" s="41" t="s">
        <v>1109</v>
      </c>
      <c r="D2299" s="65">
        <v>25963</v>
      </c>
      <c r="E2299" s="42">
        <v>2.0099999999999998</v>
      </c>
      <c r="F2299" s="43">
        <v>0.33572464000000002</v>
      </c>
      <c r="G2299" s="42">
        <v>0.3357116</v>
      </c>
      <c r="H2299" s="42">
        <v>9.9850469999999997E-2</v>
      </c>
      <c r="I2299" s="42">
        <v>0.26354968000000001</v>
      </c>
      <c r="J2299" s="42">
        <v>1.5675970000000001E-2</v>
      </c>
      <c r="K2299" s="42">
        <v>1.1022624E-2</v>
      </c>
      <c r="L2299" s="44">
        <v>1.0615349840000001</v>
      </c>
    </row>
    <row r="2300" spans="1:12" hidden="1">
      <c r="A2300" s="41" t="s">
        <v>3126</v>
      </c>
      <c r="B2300" s="41"/>
      <c r="C2300" s="41" t="s">
        <v>1109</v>
      </c>
      <c r="D2300" s="65">
        <v>25900</v>
      </c>
      <c r="E2300" s="42">
        <v>2.59</v>
      </c>
      <c r="F2300" s="43">
        <v>6.9501645000000001E-2</v>
      </c>
      <c r="G2300" s="42">
        <v>0.14123942</v>
      </c>
      <c r="H2300" s="42">
        <v>9.9850469999999997E-2</v>
      </c>
      <c r="I2300" s="42">
        <v>0.12609967999999999</v>
      </c>
      <c r="J2300" s="42">
        <v>1.5675970000000001E-2</v>
      </c>
      <c r="K2300" s="42">
        <v>1.1022624E-2</v>
      </c>
      <c r="L2300" s="44">
        <v>0.46338980899999999</v>
      </c>
    </row>
    <row r="2301" spans="1:12" hidden="1">
      <c r="A2301" s="41" t="s">
        <v>3127</v>
      </c>
      <c r="B2301" s="41"/>
      <c r="C2301" s="41" t="s">
        <v>1109</v>
      </c>
      <c r="D2301" s="65">
        <v>25925</v>
      </c>
      <c r="E2301" s="42">
        <v>2.77</v>
      </c>
      <c r="F2301" s="43">
        <v>6.4046968999999995E-2</v>
      </c>
      <c r="G2301" s="42">
        <v>0.31271201999999998</v>
      </c>
      <c r="H2301" s="42">
        <v>5.5184246000000003E-3</v>
      </c>
      <c r="I2301" s="42">
        <v>1.6007067999999999E-2</v>
      </c>
      <c r="J2301" s="42">
        <v>8.6636209000000004E-4</v>
      </c>
      <c r="K2301" s="42">
        <v>1.1214382E-2</v>
      </c>
      <c r="L2301" s="44">
        <v>0.41036522569000006</v>
      </c>
    </row>
    <row r="2302" spans="1:12" hidden="1">
      <c r="A2302" s="41" t="s">
        <v>3128</v>
      </c>
      <c r="B2302" s="41"/>
      <c r="C2302" s="41" t="s">
        <v>1109</v>
      </c>
      <c r="D2302" s="65">
        <v>25907</v>
      </c>
      <c r="E2302" s="42">
        <v>2.5099999999999998</v>
      </c>
      <c r="F2302" s="43">
        <v>6.4061192000000003E-2</v>
      </c>
      <c r="G2302" s="42">
        <v>0.14528942</v>
      </c>
      <c r="H2302" s="42">
        <v>9.9850469999999997E-2</v>
      </c>
      <c r="I2302" s="42">
        <v>0.11774476</v>
      </c>
      <c r="J2302" s="42">
        <v>1.5675970000000001E-2</v>
      </c>
      <c r="K2302" s="42">
        <v>1.1022624E-2</v>
      </c>
      <c r="L2302" s="44">
        <v>0.45364443599999993</v>
      </c>
    </row>
    <row r="2303" spans="1:12" hidden="1">
      <c r="A2303" s="41" t="s">
        <v>3129</v>
      </c>
      <c r="B2303" s="41"/>
      <c r="C2303" s="41" t="s">
        <v>1109</v>
      </c>
      <c r="D2303" s="65">
        <v>25965</v>
      </c>
      <c r="E2303" s="42">
        <v>3.07</v>
      </c>
      <c r="F2303" s="43">
        <v>6.9501645000000001E-2</v>
      </c>
      <c r="G2303" s="42">
        <v>0.14123942</v>
      </c>
      <c r="H2303" s="42">
        <v>9.9850469999999997E-2</v>
      </c>
      <c r="I2303" s="42">
        <v>0.12609967999999999</v>
      </c>
      <c r="J2303" s="42">
        <v>1.5675970000000001E-2</v>
      </c>
      <c r="K2303" s="42">
        <v>1.1022624E-2</v>
      </c>
      <c r="L2303" s="44">
        <v>0.46338980899999999</v>
      </c>
    </row>
    <row r="2304" spans="1:12" hidden="1">
      <c r="A2304" s="41" t="s">
        <v>3130</v>
      </c>
      <c r="B2304" s="41"/>
      <c r="C2304" s="41" t="s">
        <v>1109</v>
      </c>
      <c r="D2304" s="65">
        <v>25915</v>
      </c>
      <c r="E2304" s="42">
        <v>2.31</v>
      </c>
      <c r="F2304" s="43">
        <v>3.4631333</v>
      </c>
      <c r="G2304" s="42">
        <v>0.24925333999999999</v>
      </c>
      <c r="H2304" s="42">
        <v>9.9850469999999997E-2</v>
      </c>
      <c r="I2304" s="42">
        <v>0.12490103999999999</v>
      </c>
      <c r="J2304" s="42">
        <v>1.5675970000000001E-2</v>
      </c>
      <c r="K2304" s="42">
        <v>0.29568199000000001</v>
      </c>
      <c r="L2304" s="44">
        <v>4.2484961100000005</v>
      </c>
    </row>
    <row r="2305" spans="1:12" hidden="1">
      <c r="A2305" s="41" t="s">
        <v>3131</v>
      </c>
      <c r="B2305" s="41"/>
      <c r="C2305" s="41" t="s">
        <v>1109</v>
      </c>
      <c r="D2305" s="65">
        <v>25919</v>
      </c>
      <c r="E2305" s="42">
        <v>2.79</v>
      </c>
      <c r="F2305" s="43">
        <v>6.5776535000000003</v>
      </c>
      <c r="G2305" s="42">
        <v>0.35851382999999998</v>
      </c>
      <c r="H2305" s="42">
        <v>5.5184246000000003E-3</v>
      </c>
      <c r="I2305" s="42">
        <v>1.2665918</v>
      </c>
      <c r="J2305" s="42">
        <v>8.6636209000000004E-4</v>
      </c>
      <c r="K2305" s="42">
        <v>1.1214382E-2</v>
      </c>
      <c r="L2305" s="44">
        <v>8.2203582986899999</v>
      </c>
    </row>
    <row r="2306" spans="1:12" hidden="1">
      <c r="A2306" s="41" t="s">
        <v>3132</v>
      </c>
      <c r="B2306" s="41"/>
      <c r="C2306" s="41" t="s">
        <v>1109</v>
      </c>
      <c r="D2306" s="65">
        <v>25904</v>
      </c>
      <c r="E2306" s="42">
        <v>2.56</v>
      </c>
      <c r="F2306" s="43">
        <v>6.5791141</v>
      </c>
      <c r="G2306" s="42">
        <v>0.1911014</v>
      </c>
      <c r="H2306" s="42">
        <v>9.9850469999999997E-2</v>
      </c>
      <c r="I2306" s="42">
        <v>1.3686072</v>
      </c>
      <c r="J2306" s="42">
        <v>1.5675970000000001E-2</v>
      </c>
      <c r="K2306" s="42">
        <v>1.1022624E-2</v>
      </c>
      <c r="L2306" s="44">
        <v>8.2653717640000011</v>
      </c>
    </row>
    <row r="2307" spans="1:12" hidden="1">
      <c r="A2307" s="41" t="s">
        <v>3133</v>
      </c>
      <c r="B2307" s="41"/>
      <c r="C2307" s="41" t="s">
        <v>1109</v>
      </c>
      <c r="D2307" s="65">
        <v>25967</v>
      </c>
      <c r="E2307" s="42">
        <v>3.07</v>
      </c>
      <c r="F2307" s="43">
        <v>3.1798445000000002E-2</v>
      </c>
      <c r="G2307" s="42">
        <v>0.14071085999999999</v>
      </c>
      <c r="H2307" s="42">
        <v>9.9850469999999997E-2</v>
      </c>
      <c r="I2307" s="42">
        <v>0.11810751</v>
      </c>
      <c r="J2307" s="42">
        <v>1.5675970000000001E-2</v>
      </c>
      <c r="K2307" s="42">
        <v>1.1022624E-2</v>
      </c>
      <c r="L2307" s="44">
        <v>0.41716587899999991</v>
      </c>
    </row>
    <row r="2308" spans="1:12" hidden="1">
      <c r="A2308" s="41" t="s">
        <v>3134</v>
      </c>
      <c r="B2308" s="41"/>
      <c r="C2308" s="41" t="s">
        <v>1109</v>
      </c>
      <c r="D2308" s="65">
        <v>25924</v>
      </c>
      <c r="E2308" s="42">
        <v>2.83</v>
      </c>
      <c r="F2308" s="43">
        <v>3.4623645000000001</v>
      </c>
      <c r="G2308" s="42">
        <v>0.41665286000000001</v>
      </c>
      <c r="H2308" s="42">
        <v>5.5184246000000003E-3</v>
      </c>
      <c r="I2308" s="42">
        <v>2.3161758000000001E-2</v>
      </c>
      <c r="J2308" s="42">
        <v>8.6636209000000004E-4</v>
      </c>
      <c r="K2308" s="42">
        <v>1.1214382E-2</v>
      </c>
      <c r="L2308" s="44">
        <v>3.9197782866900002</v>
      </c>
    </row>
    <row r="2309" spans="1:12" hidden="1">
      <c r="A2309" s="41" t="s">
        <v>3135</v>
      </c>
      <c r="B2309" s="41"/>
      <c r="C2309" s="41" t="s">
        <v>1109</v>
      </c>
      <c r="D2309" s="65">
        <v>25956</v>
      </c>
      <c r="E2309" s="42">
        <v>3.02</v>
      </c>
      <c r="F2309" s="43">
        <v>0.58025327999999998</v>
      </c>
      <c r="G2309" s="42">
        <v>0.68674458999999999</v>
      </c>
      <c r="H2309" s="42">
        <v>5.5184246000000003E-3</v>
      </c>
      <c r="I2309" s="42">
        <v>0.27213379999999998</v>
      </c>
      <c r="J2309" s="42">
        <v>8.6636209000000004E-4</v>
      </c>
      <c r="K2309" s="42">
        <v>1.1214382E-2</v>
      </c>
      <c r="L2309" s="44">
        <v>1.5567308386899998</v>
      </c>
    </row>
    <row r="2310" spans="1:12" hidden="1">
      <c r="A2310" s="41" t="s">
        <v>3136</v>
      </c>
      <c r="B2310" s="41"/>
      <c r="C2310" s="41" t="s">
        <v>1109</v>
      </c>
      <c r="D2310" s="65">
        <v>25916</v>
      </c>
      <c r="E2310" s="42">
        <v>2.56</v>
      </c>
      <c r="F2310" s="43">
        <v>0.11006377000000001</v>
      </c>
      <c r="G2310" s="42">
        <v>0.14905461</v>
      </c>
      <c r="H2310" s="42">
        <v>9.9850469999999997E-2</v>
      </c>
      <c r="I2310" s="42">
        <v>0.13265942999999999</v>
      </c>
      <c r="J2310" s="42">
        <v>1.5675970000000001E-2</v>
      </c>
      <c r="K2310" s="42">
        <v>1.1022624E-2</v>
      </c>
      <c r="L2310" s="44">
        <v>0.51832687399999999</v>
      </c>
    </row>
    <row r="2311" spans="1:12" hidden="1">
      <c r="A2311" s="41" t="s">
        <v>3137</v>
      </c>
      <c r="B2311" s="41"/>
      <c r="C2311" s="41" t="s">
        <v>2568</v>
      </c>
      <c r="D2311" s="65">
        <v>20252</v>
      </c>
      <c r="E2311" s="42">
        <v>2.84</v>
      </c>
      <c r="F2311" s="43">
        <v>6.4061192000000003E-2</v>
      </c>
      <c r="G2311" s="42">
        <v>0.14528942</v>
      </c>
      <c r="H2311" s="42">
        <v>0.18086906</v>
      </c>
      <c r="I2311" s="42">
        <v>0.11271496</v>
      </c>
      <c r="J2311" s="42">
        <v>1.5675970000000001E-2</v>
      </c>
      <c r="K2311" s="42">
        <v>1.1022624E-2</v>
      </c>
      <c r="L2311" s="44">
        <v>0.52963322599999996</v>
      </c>
    </row>
    <row r="2312" spans="1:12" hidden="1">
      <c r="A2312" s="41" t="s">
        <v>3138</v>
      </c>
      <c r="B2312" s="41"/>
      <c r="C2312" s="41" t="s">
        <v>2568</v>
      </c>
      <c r="D2312" s="65">
        <v>20253</v>
      </c>
      <c r="E2312" s="42">
        <v>2.78</v>
      </c>
      <c r="F2312" s="43">
        <v>0.10371296000000001</v>
      </c>
      <c r="G2312" s="42">
        <v>0.14982524</v>
      </c>
      <c r="H2312" s="42">
        <v>0.18086906</v>
      </c>
      <c r="I2312" s="42">
        <v>0.12496438999999999</v>
      </c>
      <c r="J2312" s="42">
        <v>1.5675970000000001E-2</v>
      </c>
      <c r="K2312" s="42">
        <v>1.1022624E-2</v>
      </c>
      <c r="L2312" s="44">
        <v>0.58607024399999996</v>
      </c>
    </row>
    <row r="2313" spans="1:12" hidden="1">
      <c r="A2313" s="37" t="s">
        <v>3139</v>
      </c>
      <c r="B2313" s="37"/>
      <c r="C2313" s="37" t="s">
        <v>1459</v>
      </c>
      <c r="D2313" s="64">
        <v>19433</v>
      </c>
      <c r="E2313" s="38">
        <v>4.08</v>
      </c>
      <c r="F2313" s="39">
        <v>1.4391006</v>
      </c>
      <c r="G2313" s="38">
        <v>0.12902031</v>
      </c>
      <c r="H2313" s="38">
        <v>0.18031662000000001</v>
      </c>
      <c r="I2313" s="38">
        <v>0.18373555999999999</v>
      </c>
      <c r="J2313" s="38">
        <v>3.5371358999999998E-2</v>
      </c>
      <c r="K2313" s="38">
        <v>6.6736979E-3</v>
      </c>
      <c r="L2313" s="40">
        <v>1.9742181468999997</v>
      </c>
    </row>
    <row r="2314" spans="1:12" hidden="1">
      <c r="A2314" s="37" t="s">
        <v>3140</v>
      </c>
      <c r="B2314" s="37"/>
      <c r="C2314" s="37" t="s">
        <v>903</v>
      </c>
      <c r="D2314" s="64">
        <v>25169</v>
      </c>
      <c r="E2314" s="38">
        <v>2.88</v>
      </c>
      <c r="F2314" s="39">
        <v>6.3207125</v>
      </c>
      <c r="G2314" s="38">
        <v>0.50208396</v>
      </c>
      <c r="H2314" s="38">
        <v>0.10406451</v>
      </c>
      <c r="I2314" s="38">
        <v>0.43055662</v>
      </c>
      <c r="J2314" s="38">
        <v>3.7768032999999999E-2</v>
      </c>
      <c r="K2314" s="38">
        <v>9.2564276000000001E-2</v>
      </c>
      <c r="L2314" s="40">
        <v>7.4877498989999998</v>
      </c>
    </row>
    <row r="2315" spans="1:12" hidden="1">
      <c r="A2315" s="41" t="s">
        <v>3141</v>
      </c>
      <c r="B2315" s="41"/>
      <c r="C2315" s="41" t="s">
        <v>640</v>
      </c>
      <c r="D2315" s="65">
        <v>12355</v>
      </c>
      <c r="E2315" s="42">
        <v>1.87</v>
      </c>
      <c r="F2315" s="43">
        <v>4.4822129999999998</v>
      </c>
      <c r="G2315" s="42">
        <v>0.45834438999999999</v>
      </c>
      <c r="H2315" s="42">
        <v>0.18553562000000001</v>
      </c>
      <c r="I2315" s="42">
        <v>0.21660404999999999</v>
      </c>
      <c r="J2315" s="42">
        <v>3.7768032999999999E-2</v>
      </c>
      <c r="K2315" s="42">
        <v>6.6736979E-3</v>
      </c>
      <c r="L2315" s="44">
        <v>5.3871387908999999</v>
      </c>
    </row>
    <row r="2316" spans="1:12" hidden="1">
      <c r="A2316" s="41" t="s">
        <v>3142</v>
      </c>
      <c r="B2316" s="41"/>
      <c r="C2316" s="41" t="s">
        <v>640</v>
      </c>
      <c r="D2316" s="65">
        <v>19530</v>
      </c>
      <c r="E2316" s="42">
        <v>1.81</v>
      </c>
      <c r="F2316" s="43">
        <v>4.1313259000000002</v>
      </c>
      <c r="G2316" s="42">
        <v>0.27810902999999998</v>
      </c>
      <c r="H2316" s="42">
        <v>0.26233268999999998</v>
      </c>
      <c r="I2316" s="42">
        <v>0.21100323000000001</v>
      </c>
      <c r="J2316" s="42">
        <v>3.5969872999999999E-2</v>
      </c>
      <c r="K2316" s="42">
        <v>6.6736979E-3</v>
      </c>
      <c r="L2316" s="44">
        <v>4.9254144209000001</v>
      </c>
    </row>
    <row r="2317" spans="1:12" hidden="1">
      <c r="A2317" s="41" t="s">
        <v>3143</v>
      </c>
      <c r="B2317" s="41"/>
      <c r="C2317" s="41" t="s">
        <v>640</v>
      </c>
      <c r="D2317" s="65">
        <v>12340</v>
      </c>
      <c r="E2317" s="42">
        <v>2.2400000000000002</v>
      </c>
      <c r="F2317" s="43">
        <v>3.7250567000000001</v>
      </c>
      <c r="G2317" s="42">
        <v>0.30091217999999997</v>
      </c>
      <c r="H2317" s="42">
        <v>0.26233268999999998</v>
      </c>
      <c r="I2317" s="42">
        <v>0.21100323000000001</v>
      </c>
      <c r="J2317" s="42">
        <v>3.5969872999999999E-2</v>
      </c>
      <c r="K2317" s="42">
        <v>6.6736979E-3</v>
      </c>
      <c r="L2317" s="44">
        <v>4.5419483709000001</v>
      </c>
    </row>
    <row r="2318" spans="1:12" hidden="1">
      <c r="A2318" s="41" t="s">
        <v>3144</v>
      </c>
      <c r="B2318" s="41"/>
      <c r="C2318" s="41" t="s">
        <v>640</v>
      </c>
      <c r="D2318" s="65">
        <v>12315</v>
      </c>
      <c r="E2318" s="42">
        <v>2.2400000000000002</v>
      </c>
      <c r="F2318" s="43">
        <v>4.1313259000000002</v>
      </c>
      <c r="G2318" s="42">
        <v>0.27810902999999998</v>
      </c>
      <c r="H2318" s="42">
        <v>0.26233268999999998</v>
      </c>
      <c r="I2318" s="42">
        <v>0.21100323000000001</v>
      </c>
      <c r="J2318" s="42">
        <v>3.5969872999999999E-2</v>
      </c>
      <c r="K2318" s="42">
        <v>6.6736979E-3</v>
      </c>
      <c r="L2318" s="44">
        <v>4.9254144209000001</v>
      </c>
    </row>
    <row r="2319" spans="1:12" hidden="1">
      <c r="A2319" s="37" t="s">
        <v>3145</v>
      </c>
      <c r="B2319" s="37"/>
      <c r="C2319" s="37" t="s">
        <v>640</v>
      </c>
      <c r="D2319" s="64">
        <v>1027</v>
      </c>
      <c r="E2319" s="38">
        <v>2.7971237889717702</v>
      </c>
      <c r="F2319" s="39">
        <v>0.33086429000000001</v>
      </c>
      <c r="G2319" s="38">
        <v>1.7454129</v>
      </c>
      <c r="H2319" s="38">
        <v>0.18031662000000001</v>
      </c>
      <c r="I2319" s="38">
        <v>0.41705346999999998</v>
      </c>
      <c r="J2319" s="38">
        <v>3.5969954999999998E-2</v>
      </c>
      <c r="K2319" s="38">
        <v>6.6736979E-3</v>
      </c>
      <c r="L2319" s="40">
        <v>2.7162909329000002</v>
      </c>
    </row>
    <row r="2320" spans="1:12" hidden="1">
      <c r="A2320" s="37" t="s">
        <v>3146</v>
      </c>
      <c r="B2320" s="37"/>
      <c r="C2320" s="37" t="s">
        <v>640</v>
      </c>
      <c r="D2320" s="64">
        <v>1029</v>
      </c>
      <c r="E2320" s="38">
        <v>2.789457423801009</v>
      </c>
      <c r="F2320" s="39">
        <v>0.51585060999999999</v>
      </c>
      <c r="G2320" s="38">
        <v>2.0966833</v>
      </c>
      <c r="H2320" s="38">
        <v>0.26233268999999998</v>
      </c>
      <c r="I2320" s="38">
        <v>0.43348775000000001</v>
      </c>
      <c r="J2320" s="38">
        <v>3.5969954999999998E-2</v>
      </c>
      <c r="K2320" s="38">
        <v>6.6736979E-3</v>
      </c>
      <c r="L2320" s="40">
        <v>3.3509980028999999</v>
      </c>
    </row>
    <row r="2321" spans="1:12" hidden="1">
      <c r="A2321" s="37" t="s">
        <v>3147</v>
      </c>
      <c r="B2321" s="37"/>
      <c r="C2321" s="37" t="s">
        <v>640</v>
      </c>
      <c r="D2321" s="64">
        <v>1029</v>
      </c>
      <c r="E2321" s="38">
        <v>2.789457423801009</v>
      </c>
      <c r="F2321" s="39">
        <v>0.51585060999999999</v>
      </c>
      <c r="G2321" s="38">
        <v>2.1095041999999999</v>
      </c>
      <c r="H2321" s="38">
        <v>0.26233268999999998</v>
      </c>
      <c r="I2321" s="38">
        <v>0.43348775000000001</v>
      </c>
      <c r="J2321" s="38">
        <v>3.5969954999999998E-2</v>
      </c>
      <c r="K2321" s="38">
        <v>6.6736979E-3</v>
      </c>
      <c r="L2321" s="40">
        <v>3.3638189029000003</v>
      </c>
    </row>
    <row r="2322" spans="1:12" hidden="1">
      <c r="A2322" s="37" t="s">
        <v>3148</v>
      </c>
      <c r="B2322" s="37"/>
      <c r="C2322" s="37" t="s">
        <v>3033</v>
      </c>
      <c r="D2322" s="64">
        <v>1030</v>
      </c>
      <c r="E2322" s="38">
        <v>2.0019509455325419</v>
      </c>
      <c r="F2322" s="39">
        <v>0.27144151</v>
      </c>
      <c r="G2322" s="38">
        <v>0.96215267999999998</v>
      </c>
      <c r="H2322" s="38">
        <v>0.14924230999999999</v>
      </c>
      <c r="I2322" s="38">
        <v>0.18304408999999999</v>
      </c>
      <c r="J2322" s="38">
        <v>3.7354457000000001E-2</v>
      </c>
      <c r="K2322" s="38">
        <v>0</v>
      </c>
      <c r="L2322" s="40">
        <v>1.6032350469999999</v>
      </c>
    </row>
    <row r="2323" spans="1:12" hidden="1">
      <c r="A2323" s="41" t="s">
        <v>3149</v>
      </c>
      <c r="B2323" s="41"/>
      <c r="C2323" s="41" t="s">
        <v>623</v>
      </c>
      <c r="D2323" s="65">
        <v>24009</v>
      </c>
      <c r="E2323" s="42">
        <v>2.14</v>
      </c>
      <c r="F2323" s="43">
        <v>2.7368293000000001</v>
      </c>
      <c r="G2323" s="42">
        <v>0.18485245</v>
      </c>
      <c r="H2323" s="42">
        <v>0.10986273000000001</v>
      </c>
      <c r="I2323" s="42">
        <v>0.13137446999999999</v>
      </c>
      <c r="J2323" s="42">
        <v>1.9437894000000001E-2</v>
      </c>
      <c r="K2323" s="42">
        <v>0</v>
      </c>
      <c r="L2323" s="44">
        <v>3.1823568440000005</v>
      </c>
    </row>
    <row r="2324" spans="1:12" hidden="1">
      <c r="A2324" s="41" t="s">
        <v>3150</v>
      </c>
      <c r="B2324" s="41"/>
      <c r="C2324" s="41" t="s">
        <v>784</v>
      </c>
      <c r="D2324" s="65">
        <v>11086</v>
      </c>
      <c r="E2324" s="42">
        <v>2.99</v>
      </c>
      <c r="F2324" s="43">
        <v>4.5528129000000002</v>
      </c>
      <c r="G2324" s="42">
        <v>1.4896054000000001</v>
      </c>
      <c r="H2324" s="42">
        <v>0.28987795999999999</v>
      </c>
      <c r="I2324" s="42">
        <v>0.38352982000000002</v>
      </c>
      <c r="J2324" s="42">
        <v>2.0039066000000001E-2</v>
      </c>
      <c r="K2324" s="42">
        <v>9.9403358999999997E-3</v>
      </c>
      <c r="L2324" s="44">
        <v>6.7458054818999997</v>
      </c>
    </row>
    <row r="2325" spans="1:12" hidden="1">
      <c r="A2325" s="37" t="s">
        <v>3151</v>
      </c>
      <c r="B2325" s="37"/>
      <c r="C2325" s="37" t="s">
        <v>826</v>
      </c>
      <c r="D2325" s="64">
        <v>26173</v>
      </c>
      <c r="E2325" s="38">
        <v>3.64</v>
      </c>
      <c r="F2325" s="39">
        <v>0.70785436999999995</v>
      </c>
      <c r="G2325" s="38">
        <v>0</v>
      </c>
      <c r="H2325" s="38">
        <v>0.27530876999999998</v>
      </c>
      <c r="I2325" s="38">
        <v>0.90277483999999997</v>
      </c>
      <c r="J2325" s="38">
        <v>3.7353873000000003E-2</v>
      </c>
      <c r="K2325" s="38">
        <v>6.6736979E-3</v>
      </c>
      <c r="L2325" s="40">
        <v>1.9299655509</v>
      </c>
    </row>
    <row r="2326" spans="1:12" hidden="1">
      <c r="A2326" s="37" t="s">
        <v>3152</v>
      </c>
      <c r="B2326" s="37"/>
      <c r="C2326" s="37" t="s">
        <v>3153</v>
      </c>
      <c r="D2326" s="64">
        <v>42000</v>
      </c>
      <c r="E2326" s="38">
        <v>3.03</v>
      </c>
      <c r="F2326" s="39">
        <v>1.5893522</v>
      </c>
      <c r="G2326" s="38">
        <v>0.27970602999999999</v>
      </c>
      <c r="H2326" s="38">
        <v>0.19263622999999999</v>
      </c>
      <c r="I2326" s="38">
        <v>0.20068668000000001</v>
      </c>
      <c r="J2326" s="38">
        <v>3.9976882999999998E-2</v>
      </c>
      <c r="K2326" s="38">
        <v>6.6736979E-3</v>
      </c>
      <c r="L2326" s="40">
        <v>2.3090317209000002</v>
      </c>
    </row>
    <row r="2327" spans="1:12" hidden="1">
      <c r="A2327" s="37" t="s">
        <v>3154</v>
      </c>
      <c r="B2327" s="37"/>
      <c r="C2327" s="37" t="s">
        <v>3153</v>
      </c>
      <c r="D2327" s="64">
        <v>42004</v>
      </c>
      <c r="E2327" s="38">
        <v>3.03</v>
      </c>
      <c r="F2327" s="39">
        <v>1.5893522</v>
      </c>
      <c r="G2327" s="38">
        <v>0.27970602999999999</v>
      </c>
      <c r="H2327" s="38">
        <v>0.19263622999999999</v>
      </c>
      <c r="I2327" s="38">
        <v>0.20068668000000001</v>
      </c>
      <c r="J2327" s="38">
        <v>3.9976882999999998E-2</v>
      </c>
      <c r="K2327" s="38">
        <v>6.6736979E-3</v>
      </c>
      <c r="L2327" s="40">
        <v>2.3090317209000002</v>
      </c>
    </row>
    <row r="2328" spans="1:12" hidden="1">
      <c r="A2328" s="37" t="s">
        <v>3155</v>
      </c>
      <c r="B2328" s="37"/>
      <c r="C2328" s="37" t="s">
        <v>3153</v>
      </c>
      <c r="D2328" s="64">
        <v>42005</v>
      </c>
      <c r="E2328" s="38">
        <v>3.03</v>
      </c>
      <c r="F2328" s="39">
        <v>1.5893522</v>
      </c>
      <c r="G2328" s="38">
        <v>0.27970602999999999</v>
      </c>
      <c r="H2328" s="38">
        <v>0.19263622999999999</v>
      </c>
      <c r="I2328" s="38">
        <v>0.20068668000000001</v>
      </c>
      <c r="J2328" s="38">
        <v>3.9976882999999998E-2</v>
      </c>
      <c r="K2328" s="38">
        <v>6.6736979E-3</v>
      </c>
      <c r="L2328" s="40">
        <v>2.3090317209000002</v>
      </c>
    </row>
    <row r="2329" spans="1:12" hidden="1">
      <c r="A2329" s="37" t="s">
        <v>3156</v>
      </c>
      <c r="B2329" s="37"/>
      <c r="C2329" s="37" t="s">
        <v>3153</v>
      </c>
      <c r="D2329" s="64">
        <v>42003</v>
      </c>
      <c r="E2329" s="38">
        <v>3.03</v>
      </c>
      <c r="F2329" s="39">
        <v>1.5893522</v>
      </c>
      <c r="G2329" s="38">
        <v>0.27970602999999999</v>
      </c>
      <c r="H2329" s="38">
        <v>0.19263622999999999</v>
      </c>
      <c r="I2329" s="38">
        <v>0.20068668000000001</v>
      </c>
      <c r="J2329" s="38">
        <v>3.9976882999999998E-2</v>
      </c>
      <c r="K2329" s="38">
        <v>6.6736979E-3</v>
      </c>
      <c r="L2329" s="40">
        <v>2.3090317209000002</v>
      </c>
    </row>
    <row r="2330" spans="1:12" hidden="1">
      <c r="A2330" s="41" t="s">
        <v>3157</v>
      </c>
      <c r="B2330" s="41"/>
      <c r="C2330" s="41" t="s">
        <v>1647</v>
      </c>
      <c r="D2330" s="65">
        <v>31016</v>
      </c>
      <c r="E2330" s="42">
        <v>2.99</v>
      </c>
      <c r="F2330" s="43">
        <v>0.28460326000000002</v>
      </c>
      <c r="G2330" s="42">
        <v>0.18539030000000001</v>
      </c>
      <c r="H2330" s="42">
        <v>6.3020385999999996E-3</v>
      </c>
      <c r="I2330" s="42">
        <v>0.11880715999999999</v>
      </c>
      <c r="J2330" s="42">
        <v>1.7263204000000001E-2</v>
      </c>
      <c r="K2330" s="42">
        <v>0</v>
      </c>
      <c r="L2330" s="44">
        <v>0.61236596260000009</v>
      </c>
    </row>
    <row r="2331" spans="1:12" hidden="1">
      <c r="A2331" s="41" t="s">
        <v>3158</v>
      </c>
      <c r="B2331" s="41"/>
      <c r="C2331" s="41" t="s">
        <v>1647</v>
      </c>
      <c r="D2331" s="65">
        <v>31017</v>
      </c>
      <c r="E2331" s="42">
        <v>3.02</v>
      </c>
      <c r="F2331" s="43">
        <v>0.98167614000000003</v>
      </c>
      <c r="G2331" s="42">
        <v>0</v>
      </c>
      <c r="H2331" s="42">
        <v>6.3020385999999996E-3</v>
      </c>
      <c r="I2331" s="42">
        <v>0.10175495</v>
      </c>
      <c r="J2331" s="42">
        <v>1.7263204000000001E-2</v>
      </c>
      <c r="K2331" s="42">
        <v>0</v>
      </c>
      <c r="L2331" s="44">
        <v>1.1069963326000001</v>
      </c>
    </row>
    <row r="2332" spans="1:12" hidden="1">
      <c r="A2332" s="41" t="s">
        <v>3159</v>
      </c>
      <c r="B2332" s="41"/>
      <c r="C2332" s="41" t="s">
        <v>1647</v>
      </c>
      <c r="D2332" s="65">
        <v>31044</v>
      </c>
      <c r="E2332" s="42">
        <v>2.88</v>
      </c>
      <c r="F2332" s="43">
        <v>0.28460326000000002</v>
      </c>
      <c r="G2332" s="42">
        <v>0.18539030000000001</v>
      </c>
      <c r="H2332" s="42">
        <v>6.3020385999999996E-3</v>
      </c>
      <c r="I2332" s="42">
        <v>0.11880715999999999</v>
      </c>
      <c r="J2332" s="42">
        <v>1.7263204000000001E-2</v>
      </c>
      <c r="K2332" s="42">
        <v>0</v>
      </c>
      <c r="L2332" s="44">
        <v>0.61236596260000009</v>
      </c>
    </row>
    <row r="2333" spans="1:12" hidden="1">
      <c r="A2333" s="37" t="s">
        <v>3160</v>
      </c>
      <c r="B2333" s="37"/>
      <c r="C2333" s="37" t="s">
        <v>634</v>
      </c>
      <c r="D2333" s="64">
        <v>13126</v>
      </c>
      <c r="E2333" s="38">
        <v>2.68</v>
      </c>
      <c r="F2333" s="39">
        <v>0.50299338999999998</v>
      </c>
      <c r="G2333" s="38">
        <v>0</v>
      </c>
      <c r="H2333" s="38">
        <v>0</v>
      </c>
      <c r="I2333" s="38">
        <v>0.27356253000000003</v>
      </c>
      <c r="J2333" s="38">
        <v>1.5591117999999999E-2</v>
      </c>
      <c r="K2333" s="38">
        <v>8.0351048999999994E-2</v>
      </c>
      <c r="L2333" s="40">
        <v>0.87249808700000009</v>
      </c>
    </row>
    <row r="2334" spans="1:12" hidden="1">
      <c r="A2334" s="41" t="s">
        <v>3161</v>
      </c>
      <c r="B2334" s="41"/>
      <c r="C2334" s="41" t="s">
        <v>782</v>
      </c>
      <c r="D2334" s="65">
        <v>26046</v>
      </c>
      <c r="E2334" s="42">
        <v>4.51</v>
      </c>
      <c r="F2334" s="43">
        <v>5.2614352000000002</v>
      </c>
      <c r="G2334" s="42">
        <v>0.34001898000000003</v>
      </c>
      <c r="H2334" s="42">
        <v>0.27727707000000001</v>
      </c>
      <c r="I2334" s="42">
        <v>0.68892034999999996</v>
      </c>
      <c r="J2334" s="42">
        <v>3.7768032999999999E-2</v>
      </c>
      <c r="K2334" s="42">
        <v>6.6736979E-3</v>
      </c>
      <c r="L2334" s="44">
        <v>6.6120933309000005</v>
      </c>
    </row>
    <row r="2335" spans="1:12" hidden="1">
      <c r="A2335" s="41" t="s">
        <v>3162</v>
      </c>
      <c r="B2335" s="41"/>
      <c r="C2335" s="41" t="s">
        <v>782</v>
      </c>
      <c r="D2335" s="65">
        <v>26239</v>
      </c>
      <c r="E2335" s="42">
        <v>4.76</v>
      </c>
      <c r="F2335" s="43">
        <v>5.2614352000000002</v>
      </c>
      <c r="G2335" s="42">
        <v>0.34001898000000003</v>
      </c>
      <c r="H2335" s="42">
        <v>0.27727707000000001</v>
      </c>
      <c r="I2335" s="42">
        <v>0.68892034999999996</v>
      </c>
      <c r="J2335" s="42">
        <v>3.7768032999999999E-2</v>
      </c>
      <c r="K2335" s="42">
        <v>6.6736979E-3</v>
      </c>
      <c r="L2335" s="44">
        <v>6.6120933309000005</v>
      </c>
    </row>
    <row r="2336" spans="1:12" hidden="1">
      <c r="A2336" s="41" t="s">
        <v>3163</v>
      </c>
      <c r="B2336" s="41"/>
      <c r="C2336" s="41" t="s">
        <v>811</v>
      </c>
      <c r="D2336" s="65">
        <v>25456</v>
      </c>
      <c r="E2336" s="42">
        <v>2.8</v>
      </c>
      <c r="F2336" s="43">
        <v>1.8128867</v>
      </c>
      <c r="G2336" s="42">
        <v>3.1970205000000002E-2</v>
      </c>
      <c r="H2336" s="42">
        <v>0.21032582999999999</v>
      </c>
      <c r="I2336" s="42">
        <v>0.34340927999999998</v>
      </c>
      <c r="J2336" s="42">
        <v>3.7768032999999999E-2</v>
      </c>
      <c r="K2336" s="42">
        <v>1.7696322E-2</v>
      </c>
      <c r="L2336" s="44">
        <v>2.4540563699999995</v>
      </c>
    </row>
    <row r="2337" spans="1:12" hidden="1">
      <c r="A2337" s="41" t="s">
        <v>3164</v>
      </c>
      <c r="B2337" s="41"/>
      <c r="C2337" s="41" t="s">
        <v>1231</v>
      </c>
      <c r="D2337" s="65">
        <v>26269</v>
      </c>
      <c r="E2337" s="42">
        <v>2.19</v>
      </c>
      <c r="F2337" s="43">
        <v>1.1655082999999999</v>
      </c>
      <c r="G2337" s="42">
        <v>0.42172747999999999</v>
      </c>
      <c r="H2337" s="42">
        <v>0.27727707000000001</v>
      </c>
      <c r="I2337" s="42">
        <v>0.24053617999999999</v>
      </c>
      <c r="J2337" s="42">
        <v>3.7768032999999999E-2</v>
      </c>
      <c r="K2337" s="42">
        <v>6.6736979E-3</v>
      </c>
      <c r="L2337" s="44">
        <v>2.1494907609</v>
      </c>
    </row>
    <row r="2338" spans="1:12" hidden="1">
      <c r="A2338" s="41" t="s">
        <v>3165</v>
      </c>
      <c r="B2338" s="41"/>
      <c r="C2338" s="41" t="s">
        <v>1231</v>
      </c>
      <c r="D2338" s="65">
        <v>25608</v>
      </c>
      <c r="E2338" s="42">
        <v>2.09</v>
      </c>
      <c r="F2338" s="43">
        <v>0.27774765000000001</v>
      </c>
      <c r="G2338" s="42">
        <v>0.21901754000000001</v>
      </c>
      <c r="H2338" s="42">
        <v>0.28134063999999998</v>
      </c>
      <c r="I2338" s="42">
        <v>0.22940253999999999</v>
      </c>
      <c r="J2338" s="42">
        <v>1.3595637000000001E-2</v>
      </c>
      <c r="K2338" s="42">
        <v>6.6736979E-3</v>
      </c>
      <c r="L2338" s="44">
        <v>1.0277777049000001</v>
      </c>
    </row>
    <row r="2339" spans="1:12" hidden="1">
      <c r="A2339" s="41" t="s">
        <v>3166</v>
      </c>
      <c r="B2339" s="41"/>
      <c r="C2339" s="41" t="s">
        <v>826</v>
      </c>
      <c r="D2339" s="65">
        <v>26133</v>
      </c>
      <c r="E2339" s="42">
        <v>3.64</v>
      </c>
      <c r="F2339" s="43">
        <v>9.3213296000000003</v>
      </c>
      <c r="G2339" s="42">
        <v>0</v>
      </c>
      <c r="H2339" s="42">
        <v>0.27530876999999998</v>
      </c>
      <c r="I2339" s="42">
        <v>1.1705296999999999</v>
      </c>
      <c r="J2339" s="42">
        <v>3.7353873000000003E-2</v>
      </c>
      <c r="K2339" s="42">
        <v>6.6736979E-3</v>
      </c>
      <c r="L2339" s="44">
        <v>10.811195640900001</v>
      </c>
    </row>
    <row r="2340" spans="1:12" hidden="1">
      <c r="A2340" s="41" t="s">
        <v>3167</v>
      </c>
      <c r="B2340" s="41"/>
      <c r="C2340" s="41" t="s">
        <v>637</v>
      </c>
      <c r="D2340" s="65">
        <v>15203</v>
      </c>
      <c r="E2340" s="42">
        <v>4.12</v>
      </c>
      <c r="F2340" s="43">
        <v>1.6087768</v>
      </c>
      <c r="G2340" s="42">
        <v>0.57324136999999997</v>
      </c>
      <c r="H2340" s="42">
        <v>0.28118162000000002</v>
      </c>
      <c r="I2340" s="42">
        <v>0.29342245</v>
      </c>
      <c r="J2340" s="42">
        <v>1.9444221000000001E-2</v>
      </c>
      <c r="K2340" s="42">
        <v>0</v>
      </c>
      <c r="L2340" s="44">
        <v>2.7760664610000001</v>
      </c>
    </row>
    <row r="2341" spans="1:12" hidden="1">
      <c r="A2341" s="37" t="s">
        <v>3168</v>
      </c>
      <c r="B2341" s="37"/>
      <c r="C2341" s="37" t="s">
        <v>811</v>
      </c>
      <c r="D2341" s="64">
        <v>25159</v>
      </c>
      <c r="E2341" s="38">
        <v>2.62</v>
      </c>
      <c r="F2341" s="39">
        <v>25.930534999999999</v>
      </c>
      <c r="G2341" s="38">
        <v>0.31936838000000001</v>
      </c>
      <c r="H2341" s="38">
        <v>0.18549789</v>
      </c>
      <c r="I2341" s="38">
        <v>0.23549651999999999</v>
      </c>
      <c r="J2341" s="38">
        <v>3.7768032999999999E-2</v>
      </c>
      <c r="K2341" s="38">
        <v>1.7696322E-2</v>
      </c>
      <c r="L2341" s="40">
        <v>26.726362145</v>
      </c>
    </row>
    <row r="2342" spans="1:12" hidden="1">
      <c r="A2342" s="37" t="s">
        <v>3169</v>
      </c>
      <c r="B2342" s="37"/>
      <c r="C2342" s="37" t="s">
        <v>811</v>
      </c>
      <c r="D2342" s="64">
        <v>25204</v>
      </c>
      <c r="E2342" s="38">
        <v>2.4700000000000002</v>
      </c>
      <c r="F2342" s="39">
        <v>3.8775168</v>
      </c>
      <c r="G2342" s="38">
        <v>1.0245404</v>
      </c>
      <c r="H2342" s="38">
        <v>0.18549789</v>
      </c>
      <c r="I2342" s="38">
        <v>0.29933841999999999</v>
      </c>
      <c r="J2342" s="38">
        <v>3.7768032999999999E-2</v>
      </c>
      <c r="K2342" s="38">
        <v>1.7696322E-2</v>
      </c>
      <c r="L2342" s="40">
        <v>5.4423578649999991</v>
      </c>
    </row>
    <row r="2343" spans="1:12" hidden="1">
      <c r="A2343" s="41" t="s">
        <v>3170</v>
      </c>
      <c r="B2343" s="41"/>
      <c r="C2343" s="41" t="s">
        <v>634</v>
      </c>
      <c r="D2343" s="65">
        <v>13080</v>
      </c>
      <c r="E2343" s="42">
        <v>2.92</v>
      </c>
      <c r="F2343" s="43">
        <v>0.12895229</v>
      </c>
      <c r="G2343" s="42">
        <v>0</v>
      </c>
      <c r="H2343" s="42">
        <v>0</v>
      </c>
      <c r="I2343" s="42">
        <v>0.27356253000000003</v>
      </c>
      <c r="J2343" s="42">
        <v>6.7501727000000003E-3</v>
      </c>
      <c r="K2343" s="42">
        <v>8.0351048999999994E-2</v>
      </c>
      <c r="L2343" s="44">
        <v>0.48961604170000006</v>
      </c>
    </row>
    <row r="2344" spans="1:12" hidden="1">
      <c r="A2344" s="41" t="s">
        <v>3171</v>
      </c>
      <c r="B2344" s="41"/>
      <c r="C2344" s="41" t="s">
        <v>2307</v>
      </c>
      <c r="D2344" s="65">
        <v>11043</v>
      </c>
      <c r="E2344" s="42">
        <v>2.5</v>
      </c>
      <c r="F2344" s="43">
        <v>0.22402245000000001</v>
      </c>
      <c r="G2344" s="42">
        <v>0.18702435000000001</v>
      </c>
      <c r="H2344" s="42">
        <v>0.49792849</v>
      </c>
      <c r="I2344" s="42">
        <v>0.36488250999999999</v>
      </c>
      <c r="J2344" s="42">
        <v>3.7768032999999999E-2</v>
      </c>
      <c r="K2344" s="42">
        <v>1.7696322E-2</v>
      </c>
      <c r="L2344" s="44">
        <v>1.3293221550000001</v>
      </c>
    </row>
    <row r="2345" spans="1:12" hidden="1">
      <c r="A2345" s="41" t="s">
        <v>3172</v>
      </c>
      <c r="B2345" s="41"/>
      <c r="C2345" s="41" t="s">
        <v>628</v>
      </c>
      <c r="D2345" s="65">
        <v>4000</v>
      </c>
      <c r="E2345" s="42">
        <v>2.97</v>
      </c>
      <c r="F2345" s="43">
        <v>0.15410212000000001</v>
      </c>
      <c r="G2345" s="42">
        <v>0</v>
      </c>
      <c r="H2345" s="42">
        <v>0.13721916000000001</v>
      </c>
      <c r="I2345" s="42">
        <v>0.41724591999999999</v>
      </c>
      <c r="J2345" s="42">
        <v>1.2217853000000001E-2</v>
      </c>
      <c r="K2345" s="42">
        <v>8.0351048999999994E-2</v>
      </c>
      <c r="L2345" s="44">
        <v>0.80113610200000007</v>
      </c>
    </row>
    <row r="2346" spans="1:12" hidden="1">
      <c r="A2346" s="41" t="s">
        <v>3173</v>
      </c>
      <c r="B2346" s="41"/>
      <c r="C2346" s="41" t="s">
        <v>782</v>
      </c>
      <c r="D2346" s="65">
        <v>8293</v>
      </c>
      <c r="E2346" s="42">
        <v>4.51</v>
      </c>
      <c r="F2346" s="43">
        <v>7.8048498999999993E-2</v>
      </c>
      <c r="G2346" s="42">
        <v>0.83763591999999998</v>
      </c>
      <c r="H2346" s="42">
        <v>0.27728517000000003</v>
      </c>
      <c r="I2346" s="42">
        <v>0.27227472000000003</v>
      </c>
      <c r="J2346" s="42">
        <v>3.7768032999999999E-2</v>
      </c>
      <c r="K2346" s="42">
        <v>6.6736979E-3</v>
      </c>
      <c r="L2346" s="44">
        <v>1.5096860399000001</v>
      </c>
    </row>
    <row r="2347" spans="1:12" hidden="1">
      <c r="A2347" s="41" t="s">
        <v>3174</v>
      </c>
      <c r="B2347" s="41"/>
      <c r="C2347" s="41" t="s">
        <v>628</v>
      </c>
      <c r="D2347" s="65">
        <v>53200</v>
      </c>
      <c r="E2347" s="42">
        <v>2.6</v>
      </c>
      <c r="F2347" s="43">
        <v>0.1540559</v>
      </c>
      <c r="G2347" s="42">
        <v>0</v>
      </c>
      <c r="H2347" s="42">
        <v>0</v>
      </c>
      <c r="I2347" s="42">
        <v>0.38333716000000001</v>
      </c>
      <c r="J2347" s="42">
        <v>1.2217853000000001E-2</v>
      </c>
      <c r="K2347" s="42">
        <v>8.0351048999999994E-2</v>
      </c>
      <c r="L2347" s="44">
        <v>0.62996196199999999</v>
      </c>
    </row>
    <row r="2348" spans="1:12" hidden="1">
      <c r="A2348" s="41" t="s">
        <v>3175</v>
      </c>
      <c r="B2348" s="41"/>
      <c r="C2348" s="41" t="s">
        <v>628</v>
      </c>
      <c r="D2348" s="65">
        <v>53201</v>
      </c>
      <c r="E2348" s="42">
        <v>3</v>
      </c>
      <c r="F2348" s="43">
        <v>0.21934625999999999</v>
      </c>
      <c r="G2348" s="42">
        <v>0</v>
      </c>
      <c r="H2348" s="42">
        <v>0.34149902999999998</v>
      </c>
      <c r="I2348" s="42">
        <v>0.55540414000000005</v>
      </c>
      <c r="J2348" s="42">
        <v>1.7395896000000001E-2</v>
      </c>
      <c r="K2348" s="42">
        <v>0.22050236000000001</v>
      </c>
      <c r="L2348" s="44">
        <v>1.3541476859999999</v>
      </c>
    </row>
    <row r="2349" spans="1:12" hidden="1">
      <c r="A2349" s="41" t="s">
        <v>3176</v>
      </c>
      <c r="B2349" s="41"/>
      <c r="C2349" s="41" t="s">
        <v>644</v>
      </c>
      <c r="D2349" s="65">
        <v>25454</v>
      </c>
      <c r="E2349" s="42">
        <v>3.19</v>
      </c>
      <c r="F2349" s="43">
        <v>1.4154785000000001</v>
      </c>
      <c r="G2349" s="42">
        <v>0.20541135999999999</v>
      </c>
      <c r="H2349" s="42">
        <v>0.10404785</v>
      </c>
      <c r="I2349" s="42">
        <v>0.25005877999999998</v>
      </c>
      <c r="J2349" s="42">
        <v>3.7768032999999999E-2</v>
      </c>
      <c r="K2349" s="42">
        <v>9.2564276000000001E-2</v>
      </c>
      <c r="L2349" s="44">
        <v>2.105328799</v>
      </c>
    </row>
    <row r="2350" spans="1:12" hidden="1">
      <c r="A2350" s="41" t="s">
        <v>3177</v>
      </c>
      <c r="B2350" s="41"/>
      <c r="C2350" s="41" t="s">
        <v>644</v>
      </c>
      <c r="D2350" s="65">
        <v>25561</v>
      </c>
      <c r="E2350" s="42">
        <v>2.79</v>
      </c>
      <c r="F2350" s="43">
        <v>1.4154785000000001</v>
      </c>
      <c r="G2350" s="42">
        <v>0.20541135999999999</v>
      </c>
      <c r="H2350" s="42">
        <v>0.10404785</v>
      </c>
      <c r="I2350" s="42">
        <v>0.25005877999999998</v>
      </c>
      <c r="J2350" s="42">
        <v>3.7768032999999999E-2</v>
      </c>
      <c r="K2350" s="42">
        <v>9.2564276000000001E-2</v>
      </c>
      <c r="L2350" s="44">
        <v>2.105328799</v>
      </c>
    </row>
    <row r="2351" spans="1:12" hidden="1">
      <c r="A2351" s="37" t="s">
        <v>3178</v>
      </c>
      <c r="B2351" s="37"/>
      <c r="C2351" s="37" t="s">
        <v>644</v>
      </c>
      <c r="D2351" s="64">
        <v>25529</v>
      </c>
      <c r="E2351" s="38">
        <v>2.42</v>
      </c>
      <c r="F2351" s="39">
        <v>1.8574664000000001</v>
      </c>
      <c r="G2351" s="38">
        <v>0.19491225000000001</v>
      </c>
      <c r="H2351" s="38">
        <v>0.10406411</v>
      </c>
      <c r="I2351" s="38">
        <v>0.22430996</v>
      </c>
      <c r="J2351" s="38">
        <v>3.7768032999999999E-2</v>
      </c>
      <c r="K2351" s="38">
        <v>9.2564276000000001E-2</v>
      </c>
      <c r="L2351" s="40">
        <v>2.5110850289999997</v>
      </c>
    </row>
    <row r="2352" spans="1:12" hidden="1">
      <c r="A2352" s="37" t="s">
        <v>3179</v>
      </c>
      <c r="B2352" s="37"/>
      <c r="C2352" s="37" t="s">
        <v>668</v>
      </c>
      <c r="D2352" s="64">
        <v>23497</v>
      </c>
      <c r="E2352" s="38">
        <v>2.19</v>
      </c>
      <c r="F2352" s="39">
        <v>6.2883630000000004</v>
      </c>
      <c r="G2352" s="38">
        <v>0.35595686999999998</v>
      </c>
      <c r="H2352" s="38">
        <v>0.28780650000000002</v>
      </c>
      <c r="I2352" s="38">
        <v>0.21040476</v>
      </c>
      <c r="J2352" s="38">
        <v>1.9437894000000001E-2</v>
      </c>
      <c r="K2352" s="38">
        <v>0</v>
      </c>
      <c r="L2352" s="40">
        <v>7.1619690240000011</v>
      </c>
    </row>
    <row r="2353" spans="1:12" hidden="1">
      <c r="A2353" s="37" t="s">
        <v>3180</v>
      </c>
      <c r="B2353" s="37"/>
      <c r="C2353" s="37" t="s">
        <v>668</v>
      </c>
      <c r="D2353" s="64">
        <v>23485</v>
      </c>
      <c r="E2353" s="38">
        <v>2.2000000000000002</v>
      </c>
      <c r="F2353" s="39">
        <v>1.9486672</v>
      </c>
      <c r="G2353" s="38">
        <v>0.24911746000000001</v>
      </c>
      <c r="H2353" s="38">
        <v>0.28781257999999998</v>
      </c>
      <c r="I2353" s="38">
        <v>0.14581205999999999</v>
      </c>
      <c r="J2353" s="38">
        <v>1.9437894000000001E-2</v>
      </c>
      <c r="K2353" s="38">
        <v>0</v>
      </c>
      <c r="L2353" s="40">
        <v>2.6508471939999998</v>
      </c>
    </row>
    <row r="2354" spans="1:12" hidden="1">
      <c r="A2354" s="37" t="s">
        <v>3181</v>
      </c>
      <c r="B2354" s="37"/>
      <c r="C2354" s="37" t="s">
        <v>644</v>
      </c>
      <c r="D2354" s="64">
        <v>25444</v>
      </c>
      <c r="E2354" s="38">
        <v>2.67</v>
      </c>
      <c r="F2354" s="39">
        <v>2.5345863</v>
      </c>
      <c r="G2354" s="38">
        <v>0.26132674</v>
      </c>
      <c r="H2354" s="38">
        <v>0.1040464</v>
      </c>
      <c r="I2354" s="38">
        <v>0.21772068</v>
      </c>
      <c r="J2354" s="38">
        <v>3.7768032999999999E-2</v>
      </c>
      <c r="K2354" s="38">
        <v>9.2564276000000001E-2</v>
      </c>
      <c r="L2354" s="40">
        <v>3.2480124290000001</v>
      </c>
    </row>
    <row r="2355" spans="1:12" hidden="1">
      <c r="A2355" s="37" t="s">
        <v>3182</v>
      </c>
      <c r="B2355" s="37"/>
      <c r="C2355" s="37" t="s">
        <v>644</v>
      </c>
      <c r="D2355" s="64">
        <v>25623</v>
      </c>
      <c r="E2355" s="38">
        <v>2.19</v>
      </c>
      <c r="F2355" s="39">
        <v>3.1640552999999998</v>
      </c>
      <c r="G2355" s="38">
        <v>0.28367989999999998</v>
      </c>
      <c r="H2355" s="38">
        <v>0.10405795</v>
      </c>
      <c r="I2355" s="38">
        <v>0.21883635000000001</v>
      </c>
      <c r="J2355" s="38">
        <v>3.7768032999999999E-2</v>
      </c>
      <c r="K2355" s="38">
        <v>9.2564276000000001E-2</v>
      </c>
      <c r="L2355" s="40">
        <v>3.900961809</v>
      </c>
    </row>
    <row r="2356" spans="1:12" hidden="1">
      <c r="A2356" s="41" t="s">
        <v>3183</v>
      </c>
      <c r="B2356" s="41"/>
      <c r="C2356" s="41" t="s">
        <v>644</v>
      </c>
      <c r="D2356" s="65">
        <v>25555</v>
      </c>
      <c r="E2356" s="42">
        <v>2.89</v>
      </c>
      <c r="F2356" s="43">
        <v>2.4608661000000001</v>
      </c>
      <c r="G2356" s="42">
        <v>0.21606116</v>
      </c>
      <c r="H2356" s="42">
        <v>0.10404594</v>
      </c>
      <c r="I2356" s="42">
        <v>0.33679168999999998</v>
      </c>
      <c r="J2356" s="42">
        <v>3.7768032999999999E-2</v>
      </c>
      <c r="K2356" s="42">
        <v>9.2564276000000001E-2</v>
      </c>
      <c r="L2356" s="44">
        <v>3.248097199</v>
      </c>
    </row>
    <row r="2357" spans="1:12" hidden="1">
      <c r="A2357" s="37" t="s">
        <v>3184</v>
      </c>
      <c r="B2357" s="37"/>
      <c r="C2357" s="37" t="s">
        <v>668</v>
      </c>
      <c r="D2357" s="64">
        <v>23494</v>
      </c>
      <c r="E2357" s="38">
        <v>2.4900000000000002</v>
      </c>
      <c r="F2357" s="39">
        <v>1.0866604</v>
      </c>
      <c r="G2357" s="38">
        <v>0.21661456000000001</v>
      </c>
      <c r="H2357" s="38">
        <v>0.28780336000000001</v>
      </c>
      <c r="I2357" s="38">
        <v>0.14395464999999999</v>
      </c>
      <c r="J2357" s="38">
        <v>1.9437894000000001E-2</v>
      </c>
      <c r="K2357" s="38">
        <v>0</v>
      </c>
      <c r="L2357" s="40">
        <v>1.754470864</v>
      </c>
    </row>
    <row r="2358" spans="1:12" hidden="1">
      <c r="A2358" s="41" t="s">
        <v>3185</v>
      </c>
      <c r="B2358" s="41"/>
      <c r="C2358" s="41" t="s">
        <v>668</v>
      </c>
      <c r="D2358" s="65">
        <v>23491</v>
      </c>
      <c r="E2358" s="42">
        <v>2.88</v>
      </c>
      <c r="F2358" s="43">
        <v>0.99995369000000012</v>
      </c>
      <c r="G2358" s="42">
        <v>0.19370741</v>
      </c>
      <c r="H2358" s="42">
        <v>0.28780566000000002</v>
      </c>
      <c r="I2358" s="42">
        <v>0.26885901000000001</v>
      </c>
      <c r="J2358" s="42">
        <v>1.9437894000000001E-2</v>
      </c>
      <c r="K2358" s="42">
        <v>0</v>
      </c>
      <c r="L2358" s="44">
        <v>1.7697636640000003</v>
      </c>
    </row>
    <row r="2359" spans="1:12" hidden="1">
      <c r="A2359" s="37" t="s">
        <v>3186</v>
      </c>
      <c r="B2359" s="37"/>
      <c r="C2359" s="37" t="s">
        <v>668</v>
      </c>
      <c r="D2359" s="64">
        <v>23479</v>
      </c>
      <c r="E2359" s="38">
        <v>3.72</v>
      </c>
      <c r="F2359" s="39">
        <v>1.838327</v>
      </c>
      <c r="G2359" s="38">
        <v>0.19106645999999999</v>
      </c>
      <c r="H2359" s="38">
        <v>0.28782516000000002</v>
      </c>
      <c r="I2359" s="38">
        <v>0.26421115000000001</v>
      </c>
      <c r="J2359" s="38">
        <v>1.9437894000000001E-2</v>
      </c>
      <c r="K2359" s="38">
        <v>0</v>
      </c>
      <c r="L2359" s="40">
        <v>2.6008676640000004</v>
      </c>
    </row>
    <row r="2360" spans="1:12" hidden="1">
      <c r="A2360" s="41" t="s">
        <v>3187</v>
      </c>
      <c r="B2360" s="41"/>
      <c r="C2360" s="41" t="s">
        <v>668</v>
      </c>
      <c r="D2360" s="65">
        <v>23495</v>
      </c>
      <c r="E2360" s="42">
        <v>3.06</v>
      </c>
      <c r="F2360" s="43">
        <v>1.838327</v>
      </c>
      <c r="G2360" s="42">
        <v>0.19106645999999999</v>
      </c>
      <c r="H2360" s="42">
        <v>0.28782516000000002</v>
      </c>
      <c r="I2360" s="42">
        <v>0.26421115000000001</v>
      </c>
      <c r="J2360" s="42">
        <v>1.9437894000000001E-2</v>
      </c>
      <c r="K2360" s="42">
        <v>0</v>
      </c>
      <c r="L2360" s="44">
        <v>2.6008676640000004</v>
      </c>
    </row>
    <row r="2361" spans="1:12" hidden="1">
      <c r="A2361" s="41" t="s">
        <v>3188</v>
      </c>
      <c r="B2361" s="41"/>
      <c r="C2361" s="41" t="s">
        <v>644</v>
      </c>
      <c r="D2361" s="65">
        <v>25417</v>
      </c>
      <c r="E2361" s="42">
        <v>3.19</v>
      </c>
      <c r="F2361" s="43">
        <v>1.4154785000000001</v>
      </c>
      <c r="G2361" s="42">
        <v>0.20541135999999999</v>
      </c>
      <c r="H2361" s="42">
        <v>0.10404785</v>
      </c>
      <c r="I2361" s="42">
        <v>0.25005877999999998</v>
      </c>
      <c r="J2361" s="42">
        <v>3.7768032999999999E-2</v>
      </c>
      <c r="K2361" s="42">
        <v>9.2564276000000001E-2</v>
      </c>
      <c r="L2361" s="44">
        <v>2.105328799</v>
      </c>
    </row>
    <row r="2362" spans="1:12" hidden="1">
      <c r="A2362" s="41" t="s">
        <v>3189</v>
      </c>
      <c r="B2362" s="41"/>
      <c r="C2362" s="41" t="s">
        <v>644</v>
      </c>
      <c r="D2362" s="65">
        <v>25564</v>
      </c>
      <c r="E2362" s="42">
        <v>2.2200000000000002</v>
      </c>
      <c r="F2362" s="43">
        <v>2.8320924000000001</v>
      </c>
      <c r="G2362" s="42">
        <v>0.40809834</v>
      </c>
      <c r="H2362" s="42">
        <v>0.10405319</v>
      </c>
      <c r="I2362" s="42">
        <v>0.69116507999999999</v>
      </c>
      <c r="J2362" s="42">
        <v>3.7768032999999999E-2</v>
      </c>
      <c r="K2362" s="42">
        <v>9.2564276000000001E-2</v>
      </c>
      <c r="L2362" s="44">
        <v>4.1657413190000003</v>
      </c>
    </row>
    <row r="2363" spans="1:12" hidden="1">
      <c r="A2363" s="37" t="s">
        <v>3190</v>
      </c>
      <c r="B2363" s="37"/>
      <c r="C2363" s="37" t="s">
        <v>668</v>
      </c>
      <c r="D2363" s="64">
        <v>24663</v>
      </c>
      <c r="E2363" s="38">
        <v>2.59</v>
      </c>
      <c r="F2363" s="39">
        <v>1.8912485999999999</v>
      </c>
      <c r="G2363" s="38">
        <v>0.23789283</v>
      </c>
      <c r="H2363" s="38">
        <v>0.28780294000000001</v>
      </c>
      <c r="I2363" s="38">
        <v>0.15966340000000001</v>
      </c>
      <c r="J2363" s="38">
        <v>1.9437894000000001E-2</v>
      </c>
      <c r="K2363" s="38">
        <v>0</v>
      </c>
      <c r="L2363" s="40">
        <v>2.596045664</v>
      </c>
    </row>
    <row r="2364" spans="1:12" hidden="1">
      <c r="A2364" s="37" t="s">
        <v>3191</v>
      </c>
      <c r="B2364" s="37"/>
      <c r="C2364" s="37" t="s">
        <v>644</v>
      </c>
      <c r="D2364" s="64">
        <v>26267</v>
      </c>
      <c r="E2364" s="38">
        <v>2.59</v>
      </c>
      <c r="F2364" s="39">
        <v>3.1640552999999998</v>
      </c>
      <c r="G2364" s="38">
        <v>0.28367989999999998</v>
      </c>
      <c r="H2364" s="38">
        <v>0.10405795</v>
      </c>
      <c r="I2364" s="38">
        <v>0.21883635000000001</v>
      </c>
      <c r="J2364" s="38">
        <v>3.7768032999999999E-2</v>
      </c>
      <c r="K2364" s="38">
        <v>9.2564276000000001E-2</v>
      </c>
      <c r="L2364" s="40">
        <v>3.900961809</v>
      </c>
    </row>
    <row r="2365" spans="1:12" hidden="1">
      <c r="A2365" s="37" t="s">
        <v>3192</v>
      </c>
      <c r="B2365" s="37"/>
      <c r="C2365" s="37" t="s">
        <v>668</v>
      </c>
      <c r="D2365" s="64">
        <v>23481</v>
      </c>
      <c r="E2365" s="38">
        <v>2.98</v>
      </c>
      <c r="F2365" s="39">
        <v>1.8912485999999999</v>
      </c>
      <c r="G2365" s="38">
        <v>0.23789283</v>
      </c>
      <c r="H2365" s="38">
        <v>0.28780294000000001</v>
      </c>
      <c r="I2365" s="38">
        <v>0.15966340000000001</v>
      </c>
      <c r="J2365" s="38">
        <v>1.9437894000000001E-2</v>
      </c>
      <c r="K2365" s="38">
        <v>0</v>
      </c>
      <c r="L2365" s="40">
        <v>2.596045664</v>
      </c>
    </row>
    <row r="2366" spans="1:12" hidden="1">
      <c r="A2366" s="37" t="s">
        <v>3193</v>
      </c>
      <c r="B2366" s="37"/>
      <c r="C2366" s="37" t="s">
        <v>668</v>
      </c>
      <c r="D2366" s="64">
        <v>23499</v>
      </c>
      <c r="E2366" s="38">
        <v>2.76</v>
      </c>
      <c r="F2366" s="39">
        <v>1.2419728000000001</v>
      </c>
      <c r="G2366" s="38">
        <v>0.20817622</v>
      </c>
      <c r="H2366" s="38">
        <v>0.28780797000000002</v>
      </c>
      <c r="I2366" s="38">
        <v>0.14630861000000001</v>
      </c>
      <c r="J2366" s="38">
        <v>1.9437894000000001E-2</v>
      </c>
      <c r="K2366" s="38">
        <v>0</v>
      </c>
      <c r="L2366" s="40">
        <v>1.9037034939999999</v>
      </c>
    </row>
    <row r="2367" spans="1:12" hidden="1">
      <c r="A2367" s="37" t="s">
        <v>3194</v>
      </c>
      <c r="B2367" s="37"/>
      <c r="C2367" s="37" t="s">
        <v>668</v>
      </c>
      <c r="D2367" s="64">
        <v>23490</v>
      </c>
      <c r="E2367" s="38">
        <v>2.13</v>
      </c>
      <c r="F2367" s="39">
        <v>1.0565412000000001</v>
      </c>
      <c r="G2367" s="38">
        <v>0.19146967000000001</v>
      </c>
      <c r="H2367" s="38">
        <v>0.28780357000000001</v>
      </c>
      <c r="I2367" s="38">
        <v>0.13749637000000001</v>
      </c>
      <c r="J2367" s="38">
        <v>1.9437894000000001E-2</v>
      </c>
      <c r="K2367" s="38">
        <v>0</v>
      </c>
      <c r="L2367" s="40">
        <v>1.6927487040000002</v>
      </c>
    </row>
    <row r="2368" spans="1:12" hidden="1">
      <c r="A2368" s="37" t="s">
        <v>3195</v>
      </c>
      <c r="B2368" s="37"/>
      <c r="C2368" s="37" t="s">
        <v>644</v>
      </c>
      <c r="D2368" s="64">
        <v>25553</v>
      </c>
      <c r="E2368" s="38">
        <v>2.2200000000000002</v>
      </c>
      <c r="F2368" s="39">
        <v>1.9704737000000001</v>
      </c>
      <c r="G2368" s="38">
        <v>0.22698736999999999</v>
      </c>
      <c r="H2368" s="38">
        <v>0.10405617</v>
      </c>
      <c r="I2368" s="38">
        <v>0.22485696999999999</v>
      </c>
      <c r="J2368" s="38">
        <v>3.7768032999999999E-2</v>
      </c>
      <c r="K2368" s="38">
        <v>9.2564276000000001E-2</v>
      </c>
      <c r="L2368" s="40">
        <v>2.6567065189999997</v>
      </c>
    </row>
    <row r="2369" spans="1:12" hidden="1">
      <c r="A2369" s="41" t="s">
        <v>3196</v>
      </c>
      <c r="B2369" s="41"/>
      <c r="C2369" s="41" t="s">
        <v>668</v>
      </c>
      <c r="D2369" s="65">
        <v>23496</v>
      </c>
      <c r="E2369" s="42">
        <v>2.13</v>
      </c>
      <c r="F2369" s="43">
        <v>1.3685014</v>
      </c>
      <c r="G2369" s="42">
        <v>0.20762733</v>
      </c>
      <c r="H2369" s="42">
        <v>0.28779958999999999</v>
      </c>
      <c r="I2369" s="42">
        <v>0.14026119000000001</v>
      </c>
      <c r="J2369" s="42">
        <v>1.9437894000000001E-2</v>
      </c>
      <c r="K2369" s="42">
        <v>0</v>
      </c>
      <c r="L2369" s="44">
        <v>2.023627404</v>
      </c>
    </row>
    <row r="2370" spans="1:12" hidden="1">
      <c r="A2370" s="41" t="s">
        <v>3197</v>
      </c>
      <c r="B2370" s="41"/>
      <c r="C2370" s="41" t="s">
        <v>811</v>
      </c>
      <c r="D2370" s="65">
        <v>25137</v>
      </c>
      <c r="E2370" s="42">
        <v>1.78</v>
      </c>
      <c r="F2370" s="43">
        <v>1.8855268999999999</v>
      </c>
      <c r="G2370" s="42">
        <v>0.24942869000000001</v>
      </c>
      <c r="H2370" s="42">
        <v>0.10402936</v>
      </c>
      <c r="I2370" s="42">
        <v>0.23225301000000001</v>
      </c>
      <c r="J2370" s="42">
        <v>3.7768032999999999E-2</v>
      </c>
      <c r="K2370" s="42">
        <v>1.7696322E-2</v>
      </c>
      <c r="L2370" s="44">
        <v>2.5267023149999996</v>
      </c>
    </row>
    <row r="2371" spans="1:12" hidden="1">
      <c r="A2371" s="37" t="s">
        <v>3198</v>
      </c>
      <c r="B2371" s="37"/>
      <c r="C2371" s="37" t="s">
        <v>861</v>
      </c>
      <c r="D2371" s="64">
        <v>7410</v>
      </c>
      <c r="E2371" s="38">
        <v>2.0099999999999998</v>
      </c>
      <c r="F2371" s="39">
        <v>1.0053449999999999</v>
      </c>
      <c r="G2371" s="38">
        <v>0.20004737</v>
      </c>
      <c r="H2371" s="38">
        <v>0.10996607</v>
      </c>
      <c r="I2371" s="38">
        <v>0.11908286999999999</v>
      </c>
      <c r="J2371" s="38">
        <v>4.7861880000000002E-3</v>
      </c>
      <c r="K2371" s="38">
        <v>0</v>
      </c>
      <c r="L2371" s="40">
        <v>1.4392274979999999</v>
      </c>
    </row>
    <row r="2372" spans="1:12" hidden="1">
      <c r="A2372" s="37" t="s">
        <v>3199</v>
      </c>
      <c r="B2372" s="37"/>
      <c r="C2372" s="37" t="s">
        <v>623</v>
      </c>
      <c r="D2372" s="64">
        <v>7412</v>
      </c>
      <c r="E2372" s="38">
        <v>2.8</v>
      </c>
      <c r="F2372" s="39">
        <v>1.0053449999999999</v>
      </c>
      <c r="G2372" s="38">
        <v>0.20004737</v>
      </c>
      <c r="H2372" s="38">
        <v>0.10996607</v>
      </c>
      <c r="I2372" s="38">
        <v>0.11908286999999999</v>
      </c>
      <c r="J2372" s="38">
        <v>1.9437894000000001E-2</v>
      </c>
      <c r="K2372" s="38">
        <v>0</v>
      </c>
      <c r="L2372" s="40">
        <v>1.4538792039999999</v>
      </c>
    </row>
    <row r="2373" spans="1:12" hidden="1">
      <c r="A2373" s="37" t="s">
        <v>3200</v>
      </c>
      <c r="B2373" s="37"/>
      <c r="C2373" s="37" t="s">
        <v>623</v>
      </c>
      <c r="D2373" s="64">
        <v>7413</v>
      </c>
      <c r="E2373" s="38">
        <v>2.8</v>
      </c>
      <c r="F2373" s="39">
        <v>1.0053449999999999</v>
      </c>
      <c r="G2373" s="38">
        <v>0.20004737</v>
      </c>
      <c r="H2373" s="38">
        <v>0.10996607</v>
      </c>
      <c r="I2373" s="38">
        <v>0.11908286999999999</v>
      </c>
      <c r="J2373" s="38">
        <v>1.9437894000000001E-2</v>
      </c>
      <c r="K2373" s="38">
        <v>0</v>
      </c>
      <c r="L2373" s="40">
        <v>1.4538792039999999</v>
      </c>
    </row>
    <row r="2374" spans="1:12" hidden="1">
      <c r="A2374" s="41" t="s">
        <v>3201</v>
      </c>
      <c r="B2374" s="41"/>
      <c r="C2374" s="41" t="s">
        <v>894</v>
      </c>
      <c r="D2374" s="65">
        <v>20917</v>
      </c>
      <c r="E2374" s="42">
        <v>3.75</v>
      </c>
      <c r="F2374" s="43">
        <v>0.29711199999999999</v>
      </c>
      <c r="G2374" s="42">
        <v>0.68544103999999995</v>
      </c>
      <c r="H2374" s="42">
        <v>0.18199083999999999</v>
      </c>
      <c r="I2374" s="42">
        <v>0.12487061000000002</v>
      </c>
      <c r="J2374" s="42">
        <v>1.6060356000000001E-2</v>
      </c>
      <c r="K2374" s="42">
        <v>0</v>
      </c>
      <c r="L2374" s="44">
        <v>1.3054748460000003</v>
      </c>
    </row>
    <row r="2375" spans="1:12" hidden="1">
      <c r="A2375" s="37" t="s">
        <v>3202</v>
      </c>
      <c r="B2375" s="37"/>
      <c r="C2375" s="37" t="s">
        <v>631</v>
      </c>
      <c r="D2375" s="64">
        <v>8232</v>
      </c>
      <c r="E2375" s="38">
        <v>2.5</v>
      </c>
      <c r="F2375" s="39">
        <v>5.4751044000000002</v>
      </c>
      <c r="G2375" s="38">
        <v>1.0573752999999999</v>
      </c>
      <c r="H2375" s="38">
        <v>0.38206622000000001</v>
      </c>
      <c r="I2375" s="38">
        <v>0.26417610000000002</v>
      </c>
      <c r="J2375" s="38">
        <v>3.7768032999999999E-2</v>
      </c>
      <c r="K2375" s="38">
        <v>6.6736979E-3</v>
      </c>
      <c r="L2375" s="40">
        <v>7.2231637509000004</v>
      </c>
    </row>
    <row r="2376" spans="1:12" hidden="1">
      <c r="A2376" s="41" t="s">
        <v>3203</v>
      </c>
      <c r="B2376" s="41"/>
      <c r="C2376" s="41" t="s">
        <v>782</v>
      </c>
      <c r="D2376" s="65">
        <v>8292</v>
      </c>
      <c r="E2376" s="42">
        <v>3.64</v>
      </c>
      <c r="F2376" s="43">
        <v>6.5256955000000003</v>
      </c>
      <c r="G2376" s="42">
        <v>0.18481416000000001</v>
      </c>
      <c r="H2376" s="42">
        <v>0.27727707000000001</v>
      </c>
      <c r="I2376" s="42">
        <v>0.79611328000000003</v>
      </c>
      <c r="J2376" s="42">
        <v>3.7768032999999999E-2</v>
      </c>
      <c r="K2376" s="42">
        <v>6.6736979E-3</v>
      </c>
      <c r="L2376" s="44">
        <v>7.8283417409000009</v>
      </c>
    </row>
    <row r="2377" spans="1:12" hidden="1">
      <c r="A2377" s="41" t="s">
        <v>3204</v>
      </c>
      <c r="B2377" s="41"/>
      <c r="C2377" s="41" t="s">
        <v>631</v>
      </c>
      <c r="D2377" s="65">
        <v>8242</v>
      </c>
      <c r="E2377" s="42">
        <v>2.5</v>
      </c>
      <c r="F2377" s="43">
        <v>4.5564219000000001</v>
      </c>
      <c r="G2377" s="42">
        <v>0.84034198000000004</v>
      </c>
      <c r="H2377" s="42">
        <v>0.36007344000000002</v>
      </c>
      <c r="I2377" s="42">
        <v>0.24752291000000001</v>
      </c>
      <c r="J2377" s="42">
        <v>3.7768032999999999E-2</v>
      </c>
      <c r="K2377" s="42">
        <v>6.6736979E-3</v>
      </c>
      <c r="L2377" s="44">
        <v>6.0488019608999997</v>
      </c>
    </row>
    <row r="2378" spans="1:12" hidden="1">
      <c r="A2378" s="37" t="s">
        <v>3205</v>
      </c>
      <c r="B2378" s="37"/>
      <c r="C2378" s="37" t="s">
        <v>782</v>
      </c>
      <c r="D2378" s="64">
        <v>8291</v>
      </c>
      <c r="E2378" s="38">
        <v>3.17</v>
      </c>
      <c r="F2378" s="39">
        <v>6.5256955000000003</v>
      </c>
      <c r="G2378" s="38">
        <v>0.18481416000000001</v>
      </c>
      <c r="H2378" s="38">
        <v>0.27727707000000001</v>
      </c>
      <c r="I2378" s="38">
        <v>0.79611328000000003</v>
      </c>
      <c r="J2378" s="38">
        <v>3.7768032999999999E-2</v>
      </c>
      <c r="K2378" s="38">
        <v>6.6736979E-3</v>
      </c>
      <c r="L2378" s="40">
        <v>7.8283417409000009</v>
      </c>
    </row>
    <row r="2379" spans="1:12" hidden="1">
      <c r="A2379" s="41" t="s">
        <v>3206</v>
      </c>
      <c r="B2379" s="41"/>
      <c r="C2379" s="41" t="s">
        <v>811</v>
      </c>
      <c r="D2379" s="65">
        <v>8296</v>
      </c>
      <c r="E2379" s="42">
        <v>2.92</v>
      </c>
      <c r="F2379" s="43">
        <v>0.66338467000000001</v>
      </c>
      <c r="G2379" s="42">
        <v>0.19074155000000001</v>
      </c>
      <c r="H2379" s="42">
        <v>0.18549789</v>
      </c>
      <c r="I2379" s="42">
        <v>0.22283921000000001</v>
      </c>
      <c r="J2379" s="42">
        <v>3.7768032999999999E-2</v>
      </c>
      <c r="K2379" s="42">
        <v>1.7696322E-2</v>
      </c>
      <c r="L2379" s="44">
        <v>1.3179276750000002</v>
      </c>
    </row>
    <row r="2380" spans="1:12" hidden="1">
      <c r="A2380" s="37" t="s">
        <v>3207</v>
      </c>
      <c r="B2380" s="37"/>
      <c r="C2380" s="37" t="s">
        <v>842</v>
      </c>
      <c r="D2380" s="64">
        <v>20158</v>
      </c>
      <c r="E2380" s="38">
        <v>2.98</v>
      </c>
      <c r="F2380" s="39">
        <v>0.13726516</v>
      </c>
      <c r="G2380" s="38">
        <v>0</v>
      </c>
      <c r="H2380" s="38">
        <v>0.23106910999999999</v>
      </c>
      <c r="I2380" s="38">
        <v>0.27509253</v>
      </c>
      <c r="J2380" s="38">
        <v>4.4664153999999998E-2</v>
      </c>
      <c r="K2380" s="38">
        <v>0.11559308</v>
      </c>
      <c r="L2380" s="40">
        <v>0.80368403399999999</v>
      </c>
    </row>
    <row r="2381" spans="1:12" hidden="1">
      <c r="A2381" s="41" t="s">
        <v>651</v>
      </c>
      <c r="B2381" s="41"/>
      <c r="C2381" s="41" t="s">
        <v>650</v>
      </c>
      <c r="D2381" s="65">
        <v>18020</v>
      </c>
      <c r="E2381" s="42">
        <v>2.98</v>
      </c>
      <c r="F2381" s="43">
        <v>2.2870449000000001E-2</v>
      </c>
      <c r="G2381" s="42">
        <v>0</v>
      </c>
      <c r="H2381" s="42">
        <v>2.6323455000000001E-3</v>
      </c>
      <c r="I2381" s="42">
        <v>2.2694993E-3</v>
      </c>
      <c r="J2381" s="42">
        <v>1.5675969999999999E-4</v>
      </c>
      <c r="K2381" s="42">
        <v>1.1232300000000001E-2</v>
      </c>
      <c r="L2381" s="44">
        <v>3.9161353499999996E-2</v>
      </c>
    </row>
    <row r="2382" spans="1:12" hidden="1">
      <c r="A2382" s="37" t="s">
        <v>3208</v>
      </c>
      <c r="B2382" s="37"/>
      <c r="C2382" s="37" t="s">
        <v>650</v>
      </c>
      <c r="D2382" s="64">
        <v>18154</v>
      </c>
      <c r="E2382" s="38">
        <v>3.06</v>
      </c>
      <c r="F2382" s="39">
        <v>2.2870449000000001E-2</v>
      </c>
      <c r="G2382" s="38">
        <v>0</v>
      </c>
      <c r="H2382" s="38">
        <v>2.6323455000000001E-3</v>
      </c>
      <c r="I2382" s="38">
        <v>2.2694993E-3</v>
      </c>
      <c r="J2382" s="38">
        <v>1.5675969999999999E-4</v>
      </c>
      <c r="K2382" s="38">
        <v>1.1232300000000001E-2</v>
      </c>
      <c r="L2382" s="40">
        <v>3.9161353499999996E-2</v>
      </c>
    </row>
    <row r="2383" spans="1:12" hidden="1">
      <c r="A2383" s="37" t="s">
        <v>3209</v>
      </c>
      <c r="B2383" s="37"/>
      <c r="C2383" s="37" t="s">
        <v>650</v>
      </c>
      <c r="D2383" s="64">
        <v>18156</v>
      </c>
      <c r="E2383" s="38">
        <v>3.06</v>
      </c>
      <c r="F2383" s="39">
        <v>2.2870449000000001E-2</v>
      </c>
      <c r="G2383" s="38">
        <v>0</v>
      </c>
      <c r="H2383" s="38">
        <v>2.6323455000000001E-3</v>
      </c>
      <c r="I2383" s="38">
        <v>2.2694993E-3</v>
      </c>
      <c r="J2383" s="38">
        <v>1.5675969999999999E-4</v>
      </c>
      <c r="K2383" s="38">
        <v>1.1232300000000001E-2</v>
      </c>
      <c r="L2383" s="40">
        <v>3.9161353499999996E-2</v>
      </c>
    </row>
    <row r="2384" spans="1:12" hidden="1">
      <c r="A2384" s="37" t="s">
        <v>3210</v>
      </c>
      <c r="B2384" s="37"/>
      <c r="C2384" s="37" t="s">
        <v>650</v>
      </c>
      <c r="D2384" s="64">
        <v>18155</v>
      </c>
      <c r="E2384" s="38">
        <v>3.06</v>
      </c>
      <c r="F2384" s="39">
        <v>2.2870449000000001E-2</v>
      </c>
      <c r="G2384" s="38">
        <v>0</v>
      </c>
      <c r="H2384" s="38">
        <v>2.6323455000000001E-3</v>
      </c>
      <c r="I2384" s="38">
        <v>2.2694993E-3</v>
      </c>
      <c r="J2384" s="38">
        <v>1.5675969999999999E-4</v>
      </c>
      <c r="K2384" s="38">
        <v>1.1232300000000001E-2</v>
      </c>
      <c r="L2384" s="40">
        <v>3.9161353499999996E-2</v>
      </c>
    </row>
    <row r="2385" spans="1:12" hidden="1">
      <c r="A2385" s="41" t="s">
        <v>3211</v>
      </c>
      <c r="B2385" s="41"/>
      <c r="C2385" s="41" t="s">
        <v>782</v>
      </c>
      <c r="D2385" s="65">
        <v>26071</v>
      </c>
      <c r="E2385" s="42">
        <v>2.89</v>
      </c>
      <c r="F2385" s="43">
        <v>3.6801941</v>
      </c>
      <c r="G2385" s="42">
        <v>0.66489889000000002</v>
      </c>
      <c r="H2385" s="42">
        <v>0.26404995999999997</v>
      </c>
      <c r="I2385" s="42">
        <v>0.76543457000000004</v>
      </c>
      <c r="J2385" s="42">
        <v>2.4325573999999999E-2</v>
      </c>
      <c r="K2385" s="42">
        <v>0</v>
      </c>
      <c r="L2385" s="44">
        <v>5.3989030940000005</v>
      </c>
    </row>
    <row r="2386" spans="1:12" hidden="1">
      <c r="A2386" s="41" t="s">
        <v>3212</v>
      </c>
      <c r="B2386" s="41"/>
      <c r="C2386" s="41" t="s">
        <v>782</v>
      </c>
      <c r="D2386" s="65">
        <v>26181</v>
      </c>
      <c r="E2386" s="42">
        <v>1.4</v>
      </c>
      <c r="F2386" s="43">
        <v>2.7836959000000001</v>
      </c>
      <c r="G2386" s="42">
        <v>0.52007223000000002</v>
      </c>
      <c r="H2386" s="42">
        <v>0.30027860000000001</v>
      </c>
      <c r="I2386" s="42">
        <v>0.68606191999999999</v>
      </c>
      <c r="J2386" s="42">
        <v>2.2821510999999999E-2</v>
      </c>
      <c r="K2386" s="42">
        <v>0</v>
      </c>
      <c r="L2386" s="44">
        <v>4.3129301609999997</v>
      </c>
    </row>
    <row r="2387" spans="1:12" hidden="1">
      <c r="A2387" s="41" t="s">
        <v>3213</v>
      </c>
      <c r="B2387" s="41"/>
      <c r="C2387" s="41" t="s">
        <v>826</v>
      </c>
      <c r="D2387" s="65">
        <v>26064</v>
      </c>
      <c r="E2387" s="42">
        <v>3.57</v>
      </c>
      <c r="F2387" s="43">
        <v>3.2822136</v>
      </c>
      <c r="G2387" s="42">
        <v>0</v>
      </c>
      <c r="H2387" s="42">
        <v>0.27530876999999998</v>
      </c>
      <c r="I2387" s="42">
        <v>0.78496268999999996</v>
      </c>
      <c r="J2387" s="42">
        <v>3.7353873000000003E-2</v>
      </c>
      <c r="K2387" s="42">
        <v>6.6736979E-3</v>
      </c>
      <c r="L2387" s="44">
        <v>4.3865126308999995</v>
      </c>
    </row>
    <row r="2388" spans="1:12" hidden="1">
      <c r="A2388" s="37" t="s">
        <v>3214</v>
      </c>
      <c r="B2388" s="37"/>
      <c r="C2388" s="37" t="s">
        <v>782</v>
      </c>
      <c r="D2388" s="64">
        <v>26179</v>
      </c>
      <c r="E2388" s="38">
        <v>2.89</v>
      </c>
      <c r="F2388" s="39">
        <v>7.1660060999999997</v>
      </c>
      <c r="G2388" s="38">
        <v>0.64121755000000003</v>
      </c>
      <c r="H2388" s="38">
        <v>0.26404995999999997</v>
      </c>
      <c r="I2388" s="38">
        <v>0.76869323000000001</v>
      </c>
      <c r="J2388" s="38">
        <v>2.4325573999999999E-2</v>
      </c>
      <c r="K2388" s="38">
        <v>0</v>
      </c>
      <c r="L2388" s="40">
        <v>8.8642924140000012</v>
      </c>
    </row>
    <row r="2389" spans="1:12" hidden="1">
      <c r="A2389" s="37" t="s">
        <v>3215</v>
      </c>
      <c r="B2389" s="37"/>
      <c r="C2389" s="37" t="s">
        <v>826</v>
      </c>
      <c r="D2389" s="64">
        <v>26076</v>
      </c>
      <c r="E2389" s="38">
        <v>3.57</v>
      </c>
      <c r="F2389" s="39">
        <v>7.2655989999999999</v>
      </c>
      <c r="G2389" s="38">
        <v>0</v>
      </c>
      <c r="H2389" s="38">
        <v>0.27530876999999998</v>
      </c>
      <c r="I2389" s="38">
        <v>0.78496268999999996</v>
      </c>
      <c r="J2389" s="38">
        <v>3.7353873000000003E-2</v>
      </c>
      <c r="K2389" s="38">
        <v>6.6736979E-3</v>
      </c>
      <c r="L2389" s="40">
        <v>8.3698980309</v>
      </c>
    </row>
    <row r="2390" spans="1:12" hidden="1">
      <c r="A2390" s="37" t="s">
        <v>3216</v>
      </c>
      <c r="B2390" s="37"/>
      <c r="C2390" s="37" t="s">
        <v>782</v>
      </c>
      <c r="D2390" s="64">
        <v>26077</v>
      </c>
      <c r="E2390" s="38">
        <v>3.46</v>
      </c>
      <c r="F2390" s="39">
        <v>8.8717179000000002</v>
      </c>
      <c r="G2390" s="38">
        <v>0</v>
      </c>
      <c r="H2390" s="38">
        <v>0.33616797999999998</v>
      </c>
      <c r="I2390" s="38">
        <v>0.95848498999999998</v>
      </c>
      <c r="J2390" s="38">
        <v>4.5611246000000001E-2</v>
      </c>
      <c r="K2390" s="38">
        <v>9.4039550999999999E-2</v>
      </c>
      <c r="L2390" s="40">
        <v>10.306021667000001</v>
      </c>
    </row>
    <row r="2391" spans="1:12" hidden="1">
      <c r="A2391" s="41" t="s">
        <v>3217</v>
      </c>
      <c r="B2391" s="41"/>
      <c r="C2391" s="41" t="s">
        <v>826</v>
      </c>
      <c r="D2391" s="65">
        <v>26068</v>
      </c>
      <c r="E2391" s="42">
        <v>3.57</v>
      </c>
      <c r="F2391" s="43">
        <v>3.2601206</v>
      </c>
      <c r="G2391" s="42">
        <v>0</v>
      </c>
      <c r="H2391" s="42">
        <v>0.27530876999999998</v>
      </c>
      <c r="I2391" s="42">
        <v>0.78496268999999996</v>
      </c>
      <c r="J2391" s="42">
        <v>3.7353873000000003E-2</v>
      </c>
      <c r="K2391" s="42">
        <v>6.6736979E-3</v>
      </c>
      <c r="L2391" s="44">
        <v>4.3644196308999996</v>
      </c>
    </row>
    <row r="2392" spans="1:12" hidden="1">
      <c r="A2392" s="41" t="s">
        <v>3218</v>
      </c>
      <c r="B2392" s="41"/>
      <c r="C2392" s="41" t="s">
        <v>782</v>
      </c>
      <c r="D2392" s="65">
        <v>26243</v>
      </c>
      <c r="E2392" s="42">
        <v>3.36</v>
      </c>
      <c r="F2392" s="43">
        <v>3.6801941</v>
      </c>
      <c r="G2392" s="42">
        <v>0.66489889000000002</v>
      </c>
      <c r="H2392" s="42">
        <v>0.26398305999999999</v>
      </c>
      <c r="I2392" s="42">
        <v>0.76543457000000004</v>
      </c>
      <c r="J2392" s="42">
        <v>2.4325573999999999E-2</v>
      </c>
      <c r="K2392" s="42">
        <v>0</v>
      </c>
      <c r="L2392" s="44">
        <v>5.3988361940000003</v>
      </c>
    </row>
    <row r="2393" spans="1:12" hidden="1">
      <c r="A2393" s="41" t="s">
        <v>3219</v>
      </c>
      <c r="B2393" s="41"/>
      <c r="C2393" s="41" t="s">
        <v>782</v>
      </c>
      <c r="D2393" s="65">
        <v>26039</v>
      </c>
      <c r="E2393" s="42">
        <v>3.1</v>
      </c>
      <c r="F2393" s="43">
        <v>5.3696754999999996</v>
      </c>
      <c r="G2393" s="42">
        <v>0.59326606000000004</v>
      </c>
      <c r="H2393" s="42">
        <v>0.24515479000000001</v>
      </c>
      <c r="I2393" s="42">
        <v>1.1146862</v>
      </c>
      <c r="J2393" s="42">
        <v>2.2588033E-2</v>
      </c>
      <c r="K2393" s="42">
        <v>0</v>
      </c>
      <c r="L2393" s="44">
        <v>7.3453705829999993</v>
      </c>
    </row>
    <row r="2394" spans="1:12" hidden="1">
      <c r="A2394" s="41" t="s">
        <v>3220</v>
      </c>
      <c r="B2394" s="41"/>
      <c r="C2394" s="41" t="s">
        <v>826</v>
      </c>
      <c r="D2394" s="65">
        <v>26053</v>
      </c>
      <c r="E2394" s="42">
        <v>3.57</v>
      </c>
      <c r="F2394" s="43">
        <v>3.2822136</v>
      </c>
      <c r="G2394" s="42">
        <v>0</v>
      </c>
      <c r="H2394" s="42">
        <v>0.27530876999999998</v>
      </c>
      <c r="I2394" s="42">
        <v>0.78496268999999996</v>
      </c>
      <c r="J2394" s="42">
        <v>3.7353873000000003E-2</v>
      </c>
      <c r="K2394" s="42">
        <v>6.6736979E-3</v>
      </c>
      <c r="L2394" s="44">
        <v>4.3865126308999995</v>
      </c>
    </row>
    <row r="2395" spans="1:12" hidden="1">
      <c r="A2395" s="41" t="s">
        <v>3221</v>
      </c>
      <c r="B2395" s="41"/>
      <c r="C2395" s="41" t="s">
        <v>873</v>
      </c>
      <c r="D2395" s="65">
        <v>26041</v>
      </c>
      <c r="E2395" s="42">
        <v>3.46</v>
      </c>
      <c r="F2395" s="43">
        <v>4.0077731999999999</v>
      </c>
      <c r="G2395" s="42">
        <v>0</v>
      </c>
      <c r="H2395" s="42">
        <v>0.22504651000000001</v>
      </c>
      <c r="I2395" s="42">
        <v>0.95848498999999998</v>
      </c>
      <c r="J2395" s="42">
        <v>4.5611246000000001E-2</v>
      </c>
      <c r="K2395" s="42">
        <v>9.4039550999999999E-2</v>
      </c>
      <c r="L2395" s="44">
        <v>5.3309554969999997</v>
      </c>
    </row>
    <row r="2396" spans="1:12" hidden="1">
      <c r="A2396" s="41" t="s">
        <v>3222</v>
      </c>
      <c r="B2396" s="41"/>
      <c r="C2396" s="41" t="s">
        <v>807</v>
      </c>
      <c r="D2396" s="65">
        <v>11070</v>
      </c>
      <c r="E2396" s="42">
        <v>3.75</v>
      </c>
      <c r="F2396" s="43">
        <v>0.22186655999999999</v>
      </c>
      <c r="G2396" s="42">
        <v>0</v>
      </c>
      <c r="H2396" s="42">
        <v>0.32904318999999999</v>
      </c>
      <c r="I2396" s="42">
        <v>0.16258027</v>
      </c>
      <c r="J2396" s="42">
        <v>1.9594963E-2</v>
      </c>
      <c r="K2396" s="42">
        <v>8.0351048999999994E-2</v>
      </c>
      <c r="L2396" s="44">
        <v>0.81343603199999992</v>
      </c>
    </row>
    <row r="2397" spans="1:12" hidden="1">
      <c r="A2397" s="41" t="s">
        <v>3223</v>
      </c>
      <c r="B2397" s="41"/>
      <c r="C2397" s="41" t="s">
        <v>807</v>
      </c>
      <c r="D2397" s="65">
        <v>11038</v>
      </c>
      <c r="E2397" s="42">
        <v>3.75</v>
      </c>
      <c r="F2397" s="43">
        <v>0.88036652999999998</v>
      </c>
      <c r="G2397" s="42">
        <v>0</v>
      </c>
      <c r="H2397" s="42">
        <v>0.47782284000000003</v>
      </c>
      <c r="I2397" s="42">
        <v>0.17533238000000001</v>
      </c>
      <c r="J2397" s="42">
        <v>1.5675970000000001E-2</v>
      </c>
      <c r="K2397" s="42">
        <v>0</v>
      </c>
      <c r="L2397" s="44">
        <v>1.54919772</v>
      </c>
    </row>
    <row r="2398" spans="1:12" hidden="1">
      <c r="A2398" s="41" t="s">
        <v>3224</v>
      </c>
      <c r="B2398" s="41"/>
      <c r="C2398" s="41" t="s">
        <v>644</v>
      </c>
      <c r="D2398" s="65">
        <v>26268</v>
      </c>
      <c r="E2398" s="42">
        <v>2.58</v>
      </c>
      <c r="F2398" s="43">
        <v>1.6503478</v>
      </c>
      <c r="G2398" s="42">
        <v>0.22673868</v>
      </c>
      <c r="H2398" s="42">
        <v>0.10409211</v>
      </c>
      <c r="I2398" s="42">
        <v>0.38073752999999999</v>
      </c>
      <c r="J2398" s="42">
        <v>3.7768032999999999E-2</v>
      </c>
      <c r="K2398" s="42">
        <v>9.2564276000000001E-2</v>
      </c>
      <c r="L2398" s="44">
        <v>2.492248429</v>
      </c>
    </row>
    <row r="2399" spans="1:12" hidden="1">
      <c r="A2399" s="41" t="s">
        <v>3225</v>
      </c>
      <c r="B2399" s="41"/>
      <c r="C2399" s="41" t="s">
        <v>1085</v>
      </c>
      <c r="D2399" s="65">
        <v>19698</v>
      </c>
      <c r="E2399" s="42">
        <v>3.11</v>
      </c>
      <c r="F2399" s="43">
        <v>8.4184766</v>
      </c>
      <c r="G2399" s="42">
        <v>2.1941926999999999</v>
      </c>
      <c r="H2399" s="42">
        <v>0.18550709000000001</v>
      </c>
      <c r="I2399" s="42">
        <v>0.29677310000000001</v>
      </c>
      <c r="J2399" s="42">
        <v>3.7768032999999999E-2</v>
      </c>
      <c r="K2399" s="42">
        <v>6.6736979E-3</v>
      </c>
      <c r="L2399" s="44">
        <v>11.1393912209</v>
      </c>
    </row>
    <row r="2400" spans="1:12" hidden="1">
      <c r="A2400" s="37" t="s">
        <v>3226</v>
      </c>
      <c r="B2400" s="37"/>
      <c r="C2400" s="37" t="s">
        <v>650</v>
      </c>
      <c r="D2400" s="64">
        <v>18022</v>
      </c>
      <c r="E2400" s="38">
        <v>3.13</v>
      </c>
      <c r="F2400" s="39">
        <v>2.2870449000000001E-2</v>
      </c>
      <c r="G2400" s="38">
        <v>0</v>
      </c>
      <c r="H2400" s="38">
        <v>2.6323455000000001E-3</v>
      </c>
      <c r="I2400" s="38">
        <v>2.2694993E-3</v>
      </c>
      <c r="J2400" s="38">
        <v>1.5675969999999999E-4</v>
      </c>
      <c r="K2400" s="38">
        <v>1.1232300000000001E-2</v>
      </c>
      <c r="L2400" s="40">
        <v>3.9161353499999996E-2</v>
      </c>
    </row>
    <row r="2401" spans="1:12" hidden="1">
      <c r="A2401" s="37" t="s">
        <v>3227</v>
      </c>
      <c r="B2401" s="37"/>
      <c r="C2401" s="37" t="s">
        <v>674</v>
      </c>
      <c r="D2401" s="64">
        <v>25523</v>
      </c>
      <c r="E2401" s="38">
        <v>2.38</v>
      </c>
      <c r="F2401" s="39">
        <v>0.98152183000000004</v>
      </c>
      <c r="G2401" s="38">
        <v>0.29700463999999999</v>
      </c>
      <c r="H2401" s="38">
        <v>0.27090539000000002</v>
      </c>
      <c r="I2401" s="38">
        <v>0.19724892999999999</v>
      </c>
      <c r="J2401" s="38">
        <v>3.7768032999999999E-2</v>
      </c>
      <c r="K2401" s="38">
        <v>6.6736979E-3</v>
      </c>
      <c r="L2401" s="40">
        <v>1.7911225209000001</v>
      </c>
    </row>
    <row r="2402" spans="1:12" hidden="1">
      <c r="A2402" s="41" t="s">
        <v>3228</v>
      </c>
      <c r="B2402" s="41"/>
      <c r="C2402" s="41" t="s">
        <v>1103</v>
      </c>
      <c r="D2402" s="65" t="s">
        <v>3229</v>
      </c>
      <c r="E2402" s="42">
        <v>2.0494626226680852</v>
      </c>
      <c r="F2402" s="43">
        <v>0.34382857</v>
      </c>
      <c r="G2402" s="42">
        <v>0.76858130000000002</v>
      </c>
      <c r="H2402" s="42">
        <v>0.10295426000000001</v>
      </c>
      <c r="I2402" s="42">
        <v>0.19086183000000001</v>
      </c>
      <c r="J2402" s="42">
        <v>3.2137816E-2</v>
      </c>
      <c r="K2402" s="42">
        <v>8.6768135999999996E-2</v>
      </c>
      <c r="L2402" s="44">
        <v>1.525131912</v>
      </c>
    </row>
    <row r="2403" spans="1:12" hidden="1">
      <c r="A2403" s="41" t="s">
        <v>3230</v>
      </c>
      <c r="B2403" s="41"/>
      <c r="C2403" s="41" t="s">
        <v>811</v>
      </c>
      <c r="D2403" s="65">
        <v>20904</v>
      </c>
      <c r="E2403" s="42">
        <v>2.59</v>
      </c>
      <c r="F2403" s="43">
        <v>8.3115821000000006E-2</v>
      </c>
      <c r="G2403" s="42">
        <v>0.1454799</v>
      </c>
      <c r="H2403" s="42">
        <v>0.18549789</v>
      </c>
      <c r="I2403" s="42">
        <v>0.19497818</v>
      </c>
      <c r="J2403" s="42">
        <v>3.7768032999999999E-2</v>
      </c>
      <c r="K2403" s="42">
        <v>1.7696322E-2</v>
      </c>
      <c r="L2403" s="44">
        <v>0.66453614599999999</v>
      </c>
    </row>
    <row r="2404" spans="1:12" hidden="1">
      <c r="A2404" s="41" t="s">
        <v>3231</v>
      </c>
      <c r="B2404" s="41"/>
      <c r="C2404" s="41" t="s">
        <v>811</v>
      </c>
      <c r="D2404" s="65">
        <v>25524</v>
      </c>
      <c r="E2404" s="42">
        <v>2.84</v>
      </c>
      <c r="F2404" s="43">
        <v>0.31586918000000003</v>
      </c>
      <c r="G2404" s="42">
        <v>0.26499160999999999</v>
      </c>
      <c r="H2404" s="42">
        <v>0.18549789</v>
      </c>
      <c r="I2404" s="42">
        <v>0.28820883000000003</v>
      </c>
      <c r="J2404" s="42">
        <v>3.7768032999999999E-2</v>
      </c>
      <c r="K2404" s="42">
        <v>1.7696322E-2</v>
      </c>
      <c r="L2404" s="44">
        <v>1.1100318650000001</v>
      </c>
    </row>
    <row r="2405" spans="1:12" hidden="1">
      <c r="A2405" s="41" t="s">
        <v>3232</v>
      </c>
      <c r="B2405" s="41"/>
      <c r="C2405" s="41" t="s">
        <v>842</v>
      </c>
      <c r="D2405" s="65">
        <v>20172</v>
      </c>
      <c r="E2405" s="42">
        <v>2.6</v>
      </c>
      <c r="F2405" s="43">
        <v>0.21205178</v>
      </c>
      <c r="G2405" s="42">
        <v>0</v>
      </c>
      <c r="H2405" s="42">
        <v>0</v>
      </c>
      <c r="I2405" s="42">
        <v>0.27356253000000003</v>
      </c>
      <c r="J2405" s="42">
        <v>1.5591117999999999E-2</v>
      </c>
      <c r="K2405" s="42">
        <v>8.0351048999999994E-2</v>
      </c>
      <c r="L2405" s="44">
        <v>0.58155647700000002</v>
      </c>
    </row>
    <row r="2406" spans="1:12" hidden="1">
      <c r="A2406" s="41" t="s">
        <v>3233</v>
      </c>
      <c r="B2406" s="41"/>
      <c r="C2406" s="41" t="s">
        <v>842</v>
      </c>
      <c r="D2406" s="65">
        <v>20047</v>
      </c>
      <c r="E2406" s="42">
        <v>2.2599999999999998</v>
      </c>
      <c r="F2406" s="43">
        <v>0.21205178</v>
      </c>
      <c r="G2406" s="42">
        <v>0</v>
      </c>
      <c r="H2406" s="42">
        <v>0</v>
      </c>
      <c r="I2406" s="42">
        <v>0.27356253000000003</v>
      </c>
      <c r="J2406" s="42">
        <v>1.5591117999999999E-2</v>
      </c>
      <c r="K2406" s="42">
        <v>8.0351048999999994E-2</v>
      </c>
      <c r="L2406" s="44">
        <v>0.58155647700000002</v>
      </c>
    </row>
    <row r="2407" spans="1:12" hidden="1">
      <c r="A2407" s="41" t="s">
        <v>3234</v>
      </c>
      <c r="B2407" s="41"/>
      <c r="C2407" s="41" t="s">
        <v>811</v>
      </c>
      <c r="D2407" s="65">
        <v>25103</v>
      </c>
      <c r="E2407" s="42">
        <v>2.42</v>
      </c>
      <c r="F2407" s="43">
        <v>3.1734976000000001</v>
      </c>
      <c r="G2407" s="42">
        <v>0.40102676999999998</v>
      </c>
      <c r="H2407" s="42">
        <v>0.29373690000000002</v>
      </c>
      <c r="I2407" s="42">
        <v>0.23444255</v>
      </c>
      <c r="J2407" s="42">
        <v>3.7768032999999999E-2</v>
      </c>
      <c r="K2407" s="42">
        <v>1.7696322E-2</v>
      </c>
      <c r="L2407" s="44">
        <v>4.1581681750000001</v>
      </c>
    </row>
    <row r="2408" spans="1:12" hidden="1">
      <c r="A2408" s="41" t="s">
        <v>3235</v>
      </c>
      <c r="B2408" s="41"/>
      <c r="C2408" s="41" t="s">
        <v>842</v>
      </c>
      <c r="D2408" s="65">
        <v>20047</v>
      </c>
      <c r="E2408" s="42">
        <v>2.2599999999999998</v>
      </c>
      <c r="F2408" s="43">
        <v>1.5523146999999999</v>
      </c>
      <c r="G2408" s="42">
        <v>0</v>
      </c>
      <c r="H2408" s="42">
        <v>0</v>
      </c>
      <c r="I2408" s="42">
        <v>0.30896451000000003</v>
      </c>
      <c r="J2408" s="42">
        <v>1.5591117999999999E-2</v>
      </c>
      <c r="K2408" s="42">
        <v>8.0351048999999994E-2</v>
      </c>
      <c r="L2408" s="44">
        <v>1.9572213769999998</v>
      </c>
    </row>
    <row r="2409" spans="1:12" hidden="1">
      <c r="A2409" s="41" t="s">
        <v>3236</v>
      </c>
      <c r="B2409" s="41"/>
      <c r="C2409" s="41" t="s">
        <v>842</v>
      </c>
      <c r="D2409" s="65">
        <v>20119</v>
      </c>
      <c r="E2409" s="42">
        <v>2.4500000000000002</v>
      </c>
      <c r="F2409" s="43">
        <v>0.31477401999999999</v>
      </c>
      <c r="G2409" s="42">
        <v>0</v>
      </c>
      <c r="H2409" s="42">
        <v>0</v>
      </c>
      <c r="I2409" s="42">
        <v>0.29267849000000001</v>
      </c>
      <c r="J2409" s="42">
        <v>1.5591117999999999E-2</v>
      </c>
      <c r="K2409" s="42">
        <v>8.0351048999999994E-2</v>
      </c>
      <c r="L2409" s="44">
        <v>0.70339467700000002</v>
      </c>
    </row>
    <row r="2410" spans="1:12" hidden="1">
      <c r="A2410" s="41" t="s">
        <v>3237</v>
      </c>
      <c r="B2410" s="41"/>
      <c r="C2410" s="41" t="s">
        <v>842</v>
      </c>
      <c r="D2410" s="65">
        <v>20068</v>
      </c>
      <c r="E2410" s="42">
        <v>2.78</v>
      </c>
      <c r="F2410" s="43">
        <v>0.98356051</v>
      </c>
      <c r="G2410" s="42">
        <v>1.0835600999999999</v>
      </c>
      <c r="H2410" s="42">
        <v>0.17146364</v>
      </c>
      <c r="I2410" s="42">
        <v>0.56615532999999996</v>
      </c>
      <c r="J2410" s="42">
        <v>1.5811623E-2</v>
      </c>
      <c r="K2410" s="42">
        <v>0</v>
      </c>
      <c r="L2410" s="44">
        <v>2.8205512029999995</v>
      </c>
    </row>
    <row r="2411" spans="1:12" hidden="1">
      <c r="A2411" s="41" t="s">
        <v>3238</v>
      </c>
      <c r="B2411" s="41"/>
      <c r="C2411" s="41" t="s">
        <v>842</v>
      </c>
      <c r="D2411" s="65">
        <v>20260</v>
      </c>
      <c r="E2411" s="42">
        <v>3.11</v>
      </c>
      <c r="F2411" s="43">
        <v>0.11983046</v>
      </c>
      <c r="G2411" s="42">
        <v>0.11987652</v>
      </c>
      <c r="H2411" s="42">
        <v>0.17146364</v>
      </c>
      <c r="I2411" s="42">
        <v>0.23189172999999999</v>
      </c>
      <c r="J2411" s="42">
        <v>1.5811623E-2</v>
      </c>
      <c r="K2411" s="42">
        <v>1.1022624E-2</v>
      </c>
      <c r="L2411" s="44">
        <v>0.66989659700000004</v>
      </c>
    </row>
    <row r="2412" spans="1:12" hidden="1">
      <c r="A2412" s="41" t="s">
        <v>3239</v>
      </c>
      <c r="B2412" s="41"/>
      <c r="C2412" s="41" t="s">
        <v>842</v>
      </c>
      <c r="D2412" s="65">
        <v>20047</v>
      </c>
      <c r="E2412" s="42">
        <v>2.3199999999999998</v>
      </c>
      <c r="F2412" s="43">
        <v>0.31477401999999999</v>
      </c>
      <c r="G2412" s="42">
        <v>0</v>
      </c>
      <c r="H2412" s="42">
        <v>0</v>
      </c>
      <c r="I2412" s="42">
        <v>0.29267849000000001</v>
      </c>
      <c r="J2412" s="42">
        <v>1.5591117999999999E-2</v>
      </c>
      <c r="K2412" s="42">
        <v>8.0351048999999994E-2</v>
      </c>
      <c r="L2412" s="44">
        <v>0.70339467700000002</v>
      </c>
    </row>
    <row r="2413" spans="1:12" hidden="1">
      <c r="A2413" s="41" t="s">
        <v>3240</v>
      </c>
      <c r="B2413" s="41"/>
      <c r="C2413" s="41" t="s">
        <v>842</v>
      </c>
      <c r="D2413" s="65">
        <v>20268</v>
      </c>
      <c r="E2413" s="42">
        <v>2.95</v>
      </c>
      <c r="F2413" s="43">
        <v>1.9734870999999998</v>
      </c>
      <c r="G2413" s="42">
        <v>1.0835600999999999</v>
      </c>
      <c r="H2413" s="42">
        <v>0.17146364</v>
      </c>
      <c r="I2413" s="42">
        <v>0.89055983000000005</v>
      </c>
      <c r="J2413" s="42">
        <v>1.5811623E-2</v>
      </c>
      <c r="K2413" s="42">
        <v>0</v>
      </c>
      <c r="L2413" s="44">
        <v>4.1348822929999995</v>
      </c>
    </row>
    <row r="2414" spans="1:12" hidden="1">
      <c r="A2414" s="41" t="s">
        <v>3241</v>
      </c>
      <c r="B2414" s="41"/>
      <c r="C2414" s="41" t="s">
        <v>842</v>
      </c>
      <c r="D2414" s="65">
        <v>20048</v>
      </c>
      <c r="E2414" s="42">
        <v>3.11</v>
      </c>
      <c r="F2414" s="43">
        <v>0.19203598999999999</v>
      </c>
      <c r="G2414" s="42">
        <v>0.19210980999999999</v>
      </c>
      <c r="H2414" s="42">
        <v>0.27478147000000003</v>
      </c>
      <c r="I2414" s="42">
        <v>0.37162137000000001</v>
      </c>
      <c r="J2414" s="42">
        <v>2.533914E-2</v>
      </c>
      <c r="K2414" s="42">
        <v>0.20468924999999999</v>
      </c>
      <c r="L2414" s="44">
        <v>1.2605770299999999</v>
      </c>
    </row>
    <row r="2415" spans="1:12" hidden="1">
      <c r="A2415" s="41" t="s">
        <v>3242</v>
      </c>
      <c r="B2415" s="41"/>
      <c r="C2415" s="41" t="s">
        <v>842</v>
      </c>
      <c r="D2415" s="65">
        <v>20242</v>
      </c>
      <c r="E2415" s="42">
        <v>2.72</v>
      </c>
      <c r="F2415" s="43">
        <v>0.36769635000000001</v>
      </c>
      <c r="G2415" s="42">
        <v>0</v>
      </c>
      <c r="H2415" s="42">
        <v>0.28002042999999999</v>
      </c>
      <c r="I2415" s="42">
        <v>0.35587957999999997</v>
      </c>
      <c r="J2415" s="42">
        <v>1.8931462E-2</v>
      </c>
      <c r="K2415" s="42">
        <v>0.20967494</v>
      </c>
      <c r="L2415" s="44">
        <v>1.232202762</v>
      </c>
    </row>
    <row r="2416" spans="1:12" hidden="1">
      <c r="A2416" s="41" t="s">
        <v>3243</v>
      </c>
      <c r="B2416" s="41"/>
      <c r="C2416" s="41" t="s">
        <v>842</v>
      </c>
      <c r="D2416" s="65">
        <v>20289</v>
      </c>
      <c r="E2416" s="42">
        <v>2.72</v>
      </c>
      <c r="F2416" s="43">
        <v>0.36769635000000001</v>
      </c>
      <c r="G2416" s="42">
        <v>0</v>
      </c>
      <c r="H2416" s="42">
        <v>0.28002042999999999</v>
      </c>
      <c r="I2416" s="42">
        <v>0.35587957999999997</v>
      </c>
      <c r="J2416" s="42">
        <v>1.8931462E-2</v>
      </c>
      <c r="K2416" s="42">
        <v>0.18949949999999999</v>
      </c>
      <c r="L2416" s="44">
        <v>1.212027322</v>
      </c>
    </row>
    <row r="2417" spans="1:12" hidden="1">
      <c r="A2417" s="41" t="s">
        <v>3244</v>
      </c>
      <c r="B2417" s="41"/>
      <c r="C2417" s="41" t="s">
        <v>842</v>
      </c>
      <c r="D2417" s="65">
        <v>20169</v>
      </c>
      <c r="E2417" s="42">
        <v>3.03</v>
      </c>
      <c r="F2417" s="43">
        <v>0.14978807</v>
      </c>
      <c r="G2417" s="42">
        <v>0.14984565</v>
      </c>
      <c r="H2417" s="42">
        <v>0.21432954000000001</v>
      </c>
      <c r="I2417" s="42">
        <v>0.28986466999999999</v>
      </c>
      <c r="J2417" s="42">
        <v>1.9764528999999999E-2</v>
      </c>
      <c r="K2417" s="42">
        <v>9.1373673000000002E-2</v>
      </c>
      <c r="L2417" s="44">
        <v>0.91496613199999999</v>
      </c>
    </row>
    <row r="2418" spans="1:12" hidden="1">
      <c r="A2418" s="41" t="s">
        <v>3245</v>
      </c>
      <c r="B2418" s="41"/>
      <c r="C2418" s="41" t="s">
        <v>842</v>
      </c>
      <c r="D2418" s="65">
        <v>20170</v>
      </c>
      <c r="E2418" s="42">
        <v>3.11</v>
      </c>
      <c r="F2418" s="43">
        <v>0.11983046</v>
      </c>
      <c r="G2418" s="42">
        <v>0.11987652</v>
      </c>
      <c r="H2418" s="42">
        <v>0.17146364</v>
      </c>
      <c r="I2418" s="42">
        <v>0.23189172999999999</v>
      </c>
      <c r="J2418" s="42">
        <v>1.5811623E-2</v>
      </c>
      <c r="K2418" s="42">
        <v>1.1022624E-2</v>
      </c>
      <c r="L2418" s="44">
        <v>0.66989659700000004</v>
      </c>
    </row>
    <row r="2419" spans="1:12" hidden="1">
      <c r="A2419" s="41" t="s">
        <v>3246</v>
      </c>
      <c r="B2419" s="41"/>
      <c r="C2419" s="41" t="s">
        <v>842</v>
      </c>
      <c r="D2419" s="65">
        <v>20189</v>
      </c>
      <c r="E2419" s="42">
        <v>2.54</v>
      </c>
      <c r="F2419" s="43">
        <v>3.1826037999999999</v>
      </c>
      <c r="G2419" s="42">
        <v>3.2909945</v>
      </c>
      <c r="H2419" s="42">
        <v>0.65696721000000002</v>
      </c>
      <c r="I2419" s="42">
        <v>0.25546830999999998</v>
      </c>
      <c r="J2419" s="42">
        <v>2.5120483999999998E-2</v>
      </c>
      <c r="K2419" s="42">
        <v>8.0351048999999994E-2</v>
      </c>
      <c r="L2419" s="44">
        <v>7.4915053530000009</v>
      </c>
    </row>
    <row r="2420" spans="1:12" hidden="1">
      <c r="A2420" s="41" t="s">
        <v>3247</v>
      </c>
      <c r="B2420" s="41"/>
      <c r="C2420" s="41" t="s">
        <v>842</v>
      </c>
      <c r="D2420" s="65">
        <v>20256</v>
      </c>
      <c r="E2420" s="42">
        <v>2.8</v>
      </c>
      <c r="F2420" s="43">
        <v>3.1826037999999999</v>
      </c>
      <c r="G2420" s="42">
        <v>3.2909945</v>
      </c>
      <c r="H2420" s="42">
        <v>0.65696721000000002</v>
      </c>
      <c r="I2420" s="42">
        <v>0.25546830999999998</v>
      </c>
      <c r="J2420" s="42">
        <v>2.5120483999999998E-2</v>
      </c>
      <c r="K2420" s="42">
        <v>8.0351048999999994E-2</v>
      </c>
      <c r="L2420" s="44">
        <v>7.4915053530000009</v>
      </c>
    </row>
    <row r="2421" spans="1:12" hidden="1">
      <c r="A2421" s="41" t="s">
        <v>3248</v>
      </c>
      <c r="B2421" s="41"/>
      <c r="C2421" s="41" t="s">
        <v>640</v>
      </c>
      <c r="D2421" s="65">
        <v>12763</v>
      </c>
      <c r="E2421" s="42">
        <v>2.2799999999999998</v>
      </c>
      <c r="F2421" s="43">
        <v>4.9448384000000001</v>
      </c>
      <c r="G2421" s="42">
        <v>0.23116136000000001</v>
      </c>
      <c r="H2421" s="42">
        <v>0.26233268999999998</v>
      </c>
      <c r="I2421" s="42">
        <v>0.21100323000000001</v>
      </c>
      <c r="J2421" s="42">
        <v>3.5969872999999999E-2</v>
      </c>
      <c r="K2421" s="42">
        <v>6.6736979E-3</v>
      </c>
      <c r="L2421" s="44">
        <v>5.6919792509000002</v>
      </c>
    </row>
    <row r="2422" spans="1:12" hidden="1">
      <c r="A2422" s="41" t="s">
        <v>3249</v>
      </c>
      <c r="B2422" s="41"/>
      <c r="C2422" s="41" t="s">
        <v>640</v>
      </c>
      <c r="D2422" s="65">
        <v>12759</v>
      </c>
      <c r="E2422" s="42">
        <v>2.2799999999999998</v>
      </c>
      <c r="F2422" s="43">
        <v>4.8654665000000001</v>
      </c>
      <c r="G2422" s="42">
        <v>0.23563257000000001</v>
      </c>
      <c r="H2422" s="42">
        <v>0.26233268999999998</v>
      </c>
      <c r="I2422" s="42">
        <v>0.21100323000000001</v>
      </c>
      <c r="J2422" s="42">
        <v>3.5969872999999999E-2</v>
      </c>
      <c r="K2422" s="42">
        <v>6.6736979E-3</v>
      </c>
      <c r="L2422" s="44">
        <v>5.6170785609000005</v>
      </c>
    </row>
    <row r="2423" spans="1:12" hidden="1">
      <c r="A2423" s="41" t="s">
        <v>3250</v>
      </c>
      <c r="B2423" s="41"/>
      <c r="C2423" s="41" t="s">
        <v>640</v>
      </c>
      <c r="D2423" s="65">
        <v>12758</v>
      </c>
      <c r="E2423" s="42">
        <v>1.85</v>
      </c>
      <c r="F2423" s="43">
        <v>4.9117611999999999</v>
      </c>
      <c r="G2423" s="42">
        <v>0.23339697000000001</v>
      </c>
      <c r="H2423" s="42">
        <v>0.26233268999999998</v>
      </c>
      <c r="I2423" s="42">
        <v>0.21100323000000001</v>
      </c>
      <c r="J2423" s="42">
        <v>3.5969872999999999E-2</v>
      </c>
      <c r="K2423" s="42">
        <v>6.6736979E-3</v>
      </c>
      <c r="L2423" s="44">
        <v>5.6611376609000006</v>
      </c>
    </row>
    <row r="2424" spans="1:12" hidden="1">
      <c r="A2424" s="41" t="s">
        <v>3251</v>
      </c>
      <c r="B2424" s="41"/>
      <c r="C2424" s="41" t="s">
        <v>640</v>
      </c>
      <c r="D2424" s="65">
        <v>12760</v>
      </c>
      <c r="E2424" s="42">
        <v>2.2799999999999998</v>
      </c>
      <c r="F2424" s="43">
        <v>4.8654665000000001</v>
      </c>
      <c r="G2424" s="42">
        <v>0.23563257000000001</v>
      </c>
      <c r="H2424" s="42">
        <v>0.26233268999999998</v>
      </c>
      <c r="I2424" s="42">
        <v>0.21100323000000001</v>
      </c>
      <c r="J2424" s="42">
        <v>3.5969872999999999E-2</v>
      </c>
      <c r="K2424" s="42">
        <v>6.6736979E-3</v>
      </c>
      <c r="L2424" s="44">
        <v>5.6170785609000005</v>
      </c>
    </row>
    <row r="2425" spans="1:12" hidden="1">
      <c r="A2425" s="41" t="s">
        <v>3252</v>
      </c>
      <c r="B2425" s="41"/>
      <c r="C2425" s="41" t="s">
        <v>650</v>
      </c>
      <c r="D2425" s="65">
        <v>18013</v>
      </c>
      <c r="E2425" s="42">
        <v>2.6</v>
      </c>
      <c r="F2425" s="43">
        <v>6.4760169000000006E-2</v>
      </c>
      <c r="G2425" s="42">
        <v>2.7819751E-2</v>
      </c>
      <c r="H2425" s="42">
        <v>0.17741768999999999</v>
      </c>
      <c r="I2425" s="42">
        <v>0.19871755999999999</v>
      </c>
      <c r="J2425" s="42">
        <v>3.5836186999999999E-2</v>
      </c>
      <c r="K2425" s="42">
        <v>6.6736979E-3</v>
      </c>
      <c r="L2425" s="44">
        <v>0.51122505490000003</v>
      </c>
    </row>
    <row r="2426" spans="1:12" hidden="1">
      <c r="A2426" s="41" t="s">
        <v>3253</v>
      </c>
      <c r="B2426" s="41"/>
      <c r="C2426" s="41" t="s">
        <v>650</v>
      </c>
      <c r="D2426" s="65">
        <v>18344</v>
      </c>
      <c r="E2426" s="42">
        <v>2.6</v>
      </c>
      <c r="F2426" s="43">
        <v>6.4760169000000006E-2</v>
      </c>
      <c r="G2426" s="42">
        <v>2.7819751E-2</v>
      </c>
      <c r="H2426" s="42">
        <v>0.17741768999999999</v>
      </c>
      <c r="I2426" s="42">
        <v>0.19871755999999999</v>
      </c>
      <c r="J2426" s="42">
        <v>3.5836186999999999E-2</v>
      </c>
      <c r="K2426" s="42">
        <v>6.6736979E-3</v>
      </c>
      <c r="L2426" s="44">
        <v>0.51122505490000003</v>
      </c>
    </row>
    <row r="2427" spans="1:12" hidden="1">
      <c r="A2427" s="41" t="s">
        <v>3254</v>
      </c>
      <c r="B2427" s="41"/>
      <c r="C2427" s="41" t="s">
        <v>650</v>
      </c>
      <c r="D2427" s="65">
        <v>18014</v>
      </c>
      <c r="E2427" s="42">
        <v>2.6</v>
      </c>
      <c r="F2427" s="43">
        <v>6.4760169000000006E-2</v>
      </c>
      <c r="G2427" s="42">
        <v>2.7819751E-2</v>
      </c>
      <c r="H2427" s="42">
        <v>0.17741768999999999</v>
      </c>
      <c r="I2427" s="42">
        <v>0.19871755999999999</v>
      </c>
      <c r="J2427" s="42">
        <v>3.5836186999999999E-2</v>
      </c>
      <c r="K2427" s="42">
        <v>6.6736979E-3</v>
      </c>
      <c r="L2427" s="44">
        <v>0.51122505490000003</v>
      </c>
    </row>
    <row r="2428" spans="1:12" hidden="1">
      <c r="A2428" s="37" t="s">
        <v>3255</v>
      </c>
      <c r="B2428" s="37"/>
      <c r="C2428" s="37" t="s">
        <v>628</v>
      </c>
      <c r="D2428" s="64">
        <v>20196</v>
      </c>
      <c r="E2428" s="38">
        <v>2.57</v>
      </c>
      <c r="F2428" s="39">
        <v>0.31335475000000002</v>
      </c>
      <c r="G2428" s="38">
        <v>0</v>
      </c>
      <c r="H2428" s="38">
        <v>0</v>
      </c>
      <c r="I2428" s="38">
        <v>0.14862508999999999</v>
      </c>
      <c r="J2428" s="38">
        <v>1.0751711000000001E-2</v>
      </c>
      <c r="K2428" s="38">
        <v>3.2140419000000003E-2</v>
      </c>
      <c r="L2428" s="40">
        <v>0.50487197000000006</v>
      </c>
    </row>
    <row r="2429" spans="1:12" hidden="1">
      <c r="A2429" s="37" t="s">
        <v>3256</v>
      </c>
      <c r="B2429" s="37"/>
      <c r="C2429" s="37" t="s">
        <v>628</v>
      </c>
      <c r="D2429" s="64">
        <v>20050</v>
      </c>
      <c r="E2429" s="38">
        <v>2.99</v>
      </c>
      <c r="F2429" s="39">
        <v>0.45009136999999999</v>
      </c>
      <c r="G2429" s="38">
        <v>0</v>
      </c>
      <c r="H2429" s="38">
        <v>0.29952036999999998</v>
      </c>
      <c r="I2429" s="38">
        <v>0.23059292000000001</v>
      </c>
      <c r="J2429" s="38">
        <v>9.7214174999999993E-3</v>
      </c>
      <c r="K2429" s="38">
        <v>0.13820644000000001</v>
      </c>
      <c r="L2429" s="40">
        <v>1.1281325174999999</v>
      </c>
    </row>
    <row r="2430" spans="1:12" hidden="1">
      <c r="A2430" s="41" t="s">
        <v>3257</v>
      </c>
      <c r="B2430" s="41"/>
      <c r="C2430" s="41" t="s">
        <v>2380</v>
      </c>
      <c r="D2430" s="65">
        <v>22510</v>
      </c>
      <c r="E2430" s="42">
        <v>2.2999999999999998</v>
      </c>
      <c r="F2430" s="43">
        <v>0.94847645999999997</v>
      </c>
      <c r="G2430" s="42">
        <v>0.16269991</v>
      </c>
      <c r="H2430" s="42">
        <v>0.27079121</v>
      </c>
      <c r="I2430" s="42">
        <v>0.23834691</v>
      </c>
      <c r="J2430" s="42">
        <v>3.7768032999999999E-2</v>
      </c>
      <c r="K2430" s="42">
        <v>1.7696322E-2</v>
      </c>
      <c r="L2430" s="44">
        <v>1.675778845</v>
      </c>
    </row>
    <row r="2431" spans="1:12" hidden="1">
      <c r="A2431" s="41" t="s">
        <v>3258</v>
      </c>
      <c r="B2431" s="41"/>
      <c r="C2431" s="41" t="s">
        <v>861</v>
      </c>
      <c r="D2431" s="65">
        <v>7815</v>
      </c>
      <c r="E2431" s="42">
        <v>1.95</v>
      </c>
      <c r="F2431" s="43">
        <v>0.40307357999999999</v>
      </c>
      <c r="G2431" s="42">
        <v>0.31406537000000001</v>
      </c>
      <c r="H2431" s="42">
        <v>0.28130885</v>
      </c>
      <c r="I2431" s="42">
        <v>0.13154609</v>
      </c>
      <c r="J2431" s="42">
        <v>4.7861880000000002E-3</v>
      </c>
      <c r="K2431" s="42">
        <v>0</v>
      </c>
      <c r="L2431" s="44">
        <v>1.1347800780000001</v>
      </c>
    </row>
    <row r="2432" spans="1:12" hidden="1">
      <c r="A2432" s="37" t="s">
        <v>3259</v>
      </c>
      <c r="B2432" s="37"/>
      <c r="C2432" s="37" t="s">
        <v>861</v>
      </c>
      <c r="D2432" s="64">
        <v>7813</v>
      </c>
      <c r="E2432" s="38">
        <v>1.95</v>
      </c>
      <c r="F2432" s="39">
        <v>0.40307357999999999</v>
      </c>
      <c r="G2432" s="38">
        <v>0.31406537000000001</v>
      </c>
      <c r="H2432" s="38">
        <v>0.28130885</v>
      </c>
      <c r="I2432" s="38">
        <v>0.13154609</v>
      </c>
      <c r="J2432" s="38">
        <v>4.7861880000000002E-3</v>
      </c>
      <c r="K2432" s="38">
        <v>0</v>
      </c>
      <c r="L2432" s="40">
        <v>1.1347800780000001</v>
      </c>
    </row>
    <row r="2433" spans="1:12" hidden="1">
      <c r="A2433" s="41" t="s">
        <v>3260</v>
      </c>
      <c r="B2433" s="41"/>
      <c r="C2433" s="41" t="s">
        <v>637</v>
      </c>
      <c r="D2433" s="65">
        <v>15011</v>
      </c>
      <c r="E2433" s="42">
        <v>2.71</v>
      </c>
      <c r="F2433" s="43">
        <v>2.0172629</v>
      </c>
      <c r="G2433" s="42">
        <v>2.2397311E-2</v>
      </c>
      <c r="H2433" s="42">
        <v>0.53013177</v>
      </c>
      <c r="I2433" s="42">
        <v>0.30881644000000003</v>
      </c>
      <c r="J2433" s="42">
        <v>4.5312862000000002E-2</v>
      </c>
      <c r="K2433" s="42">
        <v>0.32140418999999998</v>
      </c>
      <c r="L2433" s="44">
        <v>3.2453254730000003</v>
      </c>
    </row>
    <row r="2434" spans="1:12" hidden="1">
      <c r="A2434" s="41" t="s">
        <v>3261</v>
      </c>
      <c r="B2434" s="41"/>
      <c r="C2434" s="41" t="s">
        <v>637</v>
      </c>
      <c r="D2434" s="65">
        <v>15045</v>
      </c>
      <c r="E2434" s="42">
        <v>3.19</v>
      </c>
      <c r="F2434" s="43">
        <v>2.0172629</v>
      </c>
      <c r="G2434" s="42">
        <v>2.2397311E-2</v>
      </c>
      <c r="H2434" s="42">
        <v>0.53013177</v>
      </c>
      <c r="I2434" s="42">
        <v>0.30881644000000003</v>
      </c>
      <c r="J2434" s="42">
        <v>4.5312862000000002E-2</v>
      </c>
      <c r="K2434" s="42">
        <v>0.32140418999999998</v>
      </c>
      <c r="L2434" s="44">
        <v>3.2453254730000003</v>
      </c>
    </row>
    <row r="2435" spans="1:12" hidden="1">
      <c r="A2435" s="41" t="s">
        <v>3262</v>
      </c>
      <c r="B2435" s="41"/>
      <c r="C2435" s="41" t="s">
        <v>644</v>
      </c>
      <c r="D2435" s="65">
        <v>25560</v>
      </c>
      <c r="E2435" s="42">
        <v>2.17</v>
      </c>
      <c r="F2435" s="43">
        <v>11.234723000000001</v>
      </c>
      <c r="G2435" s="42">
        <v>0.36270416999999999</v>
      </c>
      <c r="H2435" s="42">
        <v>0.18211912</v>
      </c>
      <c r="I2435" s="42">
        <v>0.22736566</v>
      </c>
      <c r="J2435" s="42">
        <v>3.7768032999999999E-2</v>
      </c>
      <c r="K2435" s="42">
        <v>9.2564276000000001E-2</v>
      </c>
      <c r="L2435" s="44">
        <v>12.137244259000001</v>
      </c>
    </row>
    <row r="2436" spans="1:12" hidden="1">
      <c r="A2436" s="37" t="s">
        <v>3263</v>
      </c>
      <c r="B2436" s="37"/>
      <c r="C2436" s="37" t="s">
        <v>811</v>
      </c>
      <c r="D2436" s="64">
        <v>8601</v>
      </c>
      <c r="E2436" s="38">
        <v>2.29</v>
      </c>
      <c r="F2436" s="39">
        <v>21.965302000000001</v>
      </c>
      <c r="G2436" s="38">
        <v>0.21392996</v>
      </c>
      <c r="H2436" s="38">
        <v>0.18549789</v>
      </c>
      <c r="I2436" s="38">
        <v>0.20915407999999999</v>
      </c>
      <c r="J2436" s="38">
        <v>3.7768032999999999E-2</v>
      </c>
      <c r="K2436" s="38">
        <v>1.7696322E-2</v>
      </c>
      <c r="L2436" s="40">
        <v>22.629348285000003</v>
      </c>
    </row>
    <row r="2437" spans="1:12" hidden="1">
      <c r="A2437" s="37" t="s">
        <v>3264</v>
      </c>
      <c r="B2437" s="37"/>
      <c r="C2437" s="37" t="s">
        <v>811</v>
      </c>
      <c r="D2437" s="64">
        <v>8602</v>
      </c>
      <c r="E2437" s="38">
        <v>2.29</v>
      </c>
      <c r="F2437" s="39">
        <v>21.965302000000001</v>
      </c>
      <c r="G2437" s="38">
        <v>0.21392996</v>
      </c>
      <c r="H2437" s="38">
        <v>0.18549789</v>
      </c>
      <c r="I2437" s="38">
        <v>0.20915407999999999</v>
      </c>
      <c r="J2437" s="38">
        <v>3.7768032999999999E-2</v>
      </c>
      <c r="K2437" s="38">
        <v>1.7696322E-2</v>
      </c>
      <c r="L2437" s="40">
        <v>22.629348285000003</v>
      </c>
    </row>
    <row r="2438" spans="1:12" hidden="1">
      <c r="A2438" s="41" t="s">
        <v>3265</v>
      </c>
      <c r="B2438" s="41"/>
      <c r="C2438" s="41" t="s">
        <v>811</v>
      </c>
      <c r="D2438" s="65">
        <v>8612</v>
      </c>
      <c r="E2438" s="42">
        <v>2.29</v>
      </c>
      <c r="F2438" s="43">
        <v>19.369330999999999</v>
      </c>
      <c r="G2438" s="42">
        <v>0.20361499</v>
      </c>
      <c r="H2438" s="42">
        <v>0.18549789</v>
      </c>
      <c r="I2438" s="42">
        <v>0.21717692999999999</v>
      </c>
      <c r="J2438" s="42">
        <v>3.7768032999999999E-2</v>
      </c>
      <c r="K2438" s="42">
        <v>1.7696322E-2</v>
      </c>
      <c r="L2438" s="44">
        <v>20.031085164999997</v>
      </c>
    </row>
    <row r="2439" spans="1:12" hidden="1">
      <c r="A2439" s="41" t="s">
        <v>3266</v>
      </c>
      <c r="B2439" s="41"/>
      <c r="C2439" s="41" t="s">
        <v>788</v>
      </c>
      <c r="D2439" s="65">
        <v>40502</v>
      </c>
      <c r="E2439" s="42">
        <v>2.21</v>
      </c>
      <c r="F2439" s="43">
        <v>26.159801999999999</v>
      </c>
      <c r="G2439" s="42">
        <v>6.5170274E-2</v>
      </c>
      <c r="H2439" s="42">
        <v>0.34413596000000002</v>
      </c>
      <c r="I2439" s="42">
        <v>0.25001562999999999</v>
      </c>
      <c r="J2439" s="42">
        <v>4.6692341999999998E-2</v>
      </c>
      <c r="K2439" s="42">
        <v>8.8693171000000001E-2</v>
      </c>
      <c r="L2439" s="44">
        <v>26.954509376999997</v>
      </c>
    </row>
    <row r="2440" spans="1:12" hidden="1">
      <c r="A2440" s="41" t="s">
        <v>3267</v>
      </c>
      <c r="B2440" s="41"/>
      <c r="C2440" s="41" t="s">
        <v>826</v>
      </c>
      <c r="D2440" s="65">
        <v>27009</v>
      </c>
      <c r="E2440" s="42">
        <v>3.57</v>
      </c>
      <c r="F2440" s="43">
        <v>5.2690168000000002</v>
      </c>
      <c r="G2440" s="42">
        <v>0</v>
      </c>
      <c r="H2440" s="42">
        <v>0.27530876999999998</v>
      </c>
      <c r="I2440" s="42">
        <v>0.90277483999999997</v>
      </c>
      <c r="J2440" s="42">
        <v>3.7353873000000003E-2</v>
      </c>
      <c r="K2440" s="42">
        <v>6.6736979E-3</v>
      </c>
      <c r="L2440" s="44">
        <v>6.4911279809</v>
      </c>
    </row>
    <row r="2441" spans="1:12" hidden="1">
      <c r="A2441" s="41" t="s">
        <v>3268</v>
      </c>
      <c r="B2441" s="41"/>
      <c r="C2441" s="41" t="s">
        <v>873</v>
      </c>
      <c r="D2441" s="65">
        <v>27015</v>
      </c>
      <c r="E2441" s="42">
        <v>3.46</v>
      </c>
      <c r="F2441" s="43">
        <v>6.4337752000000004</v>
      </c>
      <c r="G2441" s="42">
        <v>0</v>
      </c>
      <c r="H2441" s="42">
        <v>0.22504651000000001</v>
      </c>
      <c r="I2441" s="42">
        <v>1.1023404999999999</v>
      </c>
      <c r="J2441" s="42">
        <v>4.5611246000000001E-2</v>
      </c>
      <c r="K2441" s="42">
        <v>9.4039550999999999E-2</v>
      </c>
      <c r="L2441" s="44">
        <v>7.900813007</v>
      </c>
    </row>
    <row r="2442" spans="1:12" hidden="1">
      <c r="A2442" s="41" t="s">
        <v>3269</v>
      </c>
      <c r="B2442" s="41"/>
      <c r="C2442" s="41" t="s">
        <v>873</v>
      </c>
      <c r="D2442" s="65">
        <v>27014</v>
      </c>
      <c r="E2442" s="42">
        <v>3.46</v>
      </c>
      <c r="F2442" s="43">
        <v>6.4337752000000004</v>
      </c>
      <c r="G2442" s="42">
        <v>0</v>
      </c>
      <c r="H2442" s="42">
        <v>0.22504651000000001</v>
      </c>
      <c r="I2442" s="42">
        <v>1.1023404999999999</v>
      </c>
      <c r="J2442" s="42">
        <v>4.5611246000000001E-2</v>
      </c>
      <c r="K2442" s="42">
        <v>9.4039550999999999E-2</v>
      </c>
      <c r="L2442" s="44">
        <v>7.900813007</v>
      </c>
    </row>
    <row r="2443" spans="1:12" hidden="1">
      <c r="A2443" s="41" t="s">
        <v>3270</v>
      </c>
      <c r="B2443" s="41"/>
      <c r="C2443" s="41" t="s">
        <v>826</v>
      </c>
      <c r="D2443" s="65">
        <v>26092</v>
      </c>
      <c r="E2443" s="42">
        <v>3.57</v>
      </c>
      <c r="F2443" s="43">
        <v>5.2690168000000002</v>
      </c>
      <c r="G2443" s="42">
        <v>0</v>
      </c>
      <c r="H2443" s="42">
        <v>0.27530876999999998</v>
      </c>
      <c r="I2443" s="42">
        <v>0.90277483999999997</v>
      </c>
      <c r="J2443" s="42">
        <v>3.7353873000000003E-2</v>
      </c>
      <c r="K2443" s="42">
        <v>6.6736979E-3</v>
      </c>
      <c r="L2443" s="44">
        <v>6.4911279809</v>
      </c>
    </row>
    <row r="2444" spans="1:12" hidden="1">
      <c r="A2444" s="41" t="s">
        <v>3271</v>
      </c>
      <c r="B2444" s="41"/>
      <c r="C2444" s="41" t="s">
        <v>826</v>
      </c>
      <c r="D2444" s="65">
        <v>27008</v>
      </c>
      <c r="E2444" s="42">
        <v>3.57</v>
      </c>
      <c r="F2444" s="43">
        <v>4.7948053000000002</v>
      </c>
      <c r="G2444" s="42">
        <v>0</v>
      </c>
      <c r="H2444" s="42">
        <v>0.27530876999999998</v>
      </c>
      <c r="I2444" s="42">
        <v>0.83851366999999999</v>
      </c>
      <c r="J2444" s="42">
        <v>3.7353873000000003E-2</v>
      </c>
      <c r="K2444" s="42">
        <v>6.6736979E-3</v>
      </c>
      <c r="L2444" s="44">
        <v>5.9526553109</v>
      </c>
    </row>
    <row r="2445" spans="1:12" hidden="1">
      <c r="A2445" s="41" t="s">
        <v>3272</v>
      </c>
      <c r="B2445" s="41"/>
      <c r="C2445" s="41" t="s">
        <v>873</v>
      </c>
      <c r="D2445" s="65">
        <v>27029</v>
      </c>
      <c r="E2445" s="42">
        <v>1.4</v>
      </c>
      <c r="F2445" s="43">
        <v>5.8043994999999997</v>
      </c>
      <c r="G2445" s="42">
        <v>0.24689101999999999</v>
      </c>
      <c r="H2445" s="42">
        <v>0.18092275999999999</v>
      </c>
      <c r="I2445" s="42">
        <v>0.54466097000000002</v>
      </c>
      <c r="J2445" s="42">
        <v>0.10119612</v>
      </c>
      <c r="K2445" s="42">
        <v>6.6736979E-3</v>
      </c>
      <c r="L2445" s="44">
        <v>6.8847440678999989</v>
      </c>
    </row>
    <row r="2446" spans="1:12" hidden="1">
      <c r="A2446" s="41" t="s">
        <v>3273</v>
      </c>
      <c r="B2446" s="41"/>
      <c r="C2446" s="41" t="s">
        <v>826</v>
      </c>
      <c r="D2446" s="65">
        <v>27021</v>
      </c>
      <c r="E2446" s="42">
        <v>3.57</v>
      </c>
      <c r="F2446" s="43">
        <v>5.2690168000000002</v>
      </c>
      <c r="G2446" s="42">
        <v>0</v>
      </c>
      <c r="H2446" s="42">
        <v>0.27530876999999998</v>
      </c>
      <c r="I2446" s="42">
        <v>0.90277483999999997</v>
      </c>
      <c r="J2446" s="42">
        <v>3.7353873000000003E-2</v>
      </c>
      <c r="K2446" s="42">
        <v>6.6736979E-3</v>
      </c>
      <c r="L2446" s="44">
        <v>6.4911279809</v>
      </c>
    </row>
    <row r="2447" spans="1:12" hidden="1">
      <c r="A2447" s="41" t="s">
        <v>3274</v>
      </c>
      <c r="B2447" s="41"/>
      <c r="C2447" s="41" t="s">
        <v>873</v>
      </c>
      <c r="D2447" s="65">
        <v>27007</v>
      </c>
      <c r="E2447" s="42">
        <v>3.46</v>
      </c>
      <c r="F2447" s="43">
        <v>5.8547355000000003</v>
      </c>
      <c r="G2447" s="42">
        <v>0</v>
      </c>
      <c r="H2447" s="42">
        <v>0.22504651000000001</v>
      </c>
      <c r="I2447" s="42">
        <v>1.0238738000000001</v>
      </c>
      <c r="J2447" s="42">
        <v>4.5611246000000001E-2</v>
      </c>
      <c r="K2447" s="42">
        <v>9.4039550999999999E-2</v>
      </c>
      <c r="L2447" s="44">
        <v>7.243306607000001</v>
      </c>
    </row>
    <row r="2448" spans="1:12" hidden="1">
      <c r="A2448" s="41" t="s">
        <v>3275</v>
      </c>
      <c r="B2448" s="41"/>
      <c r="C2448" s="41" t="s">
        <v>873</v>
      </c>
      <c r="D2448" s="65">
        <v>27006</v>
      </c>
      <c r="E2448" s="42">
        <v>3.46</v>
      </c>
      <c r="F2448" s="43">
        <v>5.8547355000000003</v>
      </c>
      <c r="G2448" s="42">
        <v>0</v>
      </c>
      <c r="H2448" s="42">
        <v>0.22504651000000001</v>
      </c>
      <c r="I2448" s="42">
        <v>1.0238738000000001</v>
      </c>
      <c r="J2448" s="42">
        <v>4.5611246000000001E-2</v>
      </c>
      <c r="K2448" s="42">
        <v>9.4039550999999999E-2</v>
      </c>
      <c r="L2448" s="44">
        <v>7.243306607000001</v>
      </c>
    </row>
    <row r="2449" spans="1:12" hidden="1">
      <c r="A2449" s="41" t="s">
        <v>3276</v>
      </c>
      <c r="B2449" s="41"/>
      <c r="C2449" s="41" t="s">
        <v>826</v>
      </c>
      <c r="D2449" s="65">
        <v>26201</v>
      </c>
      <c r="E2449" s="42">
        <v>3.64</v>
      </c>
      <c r="F2449" s="43">
        <v>11.269168000000001</v>
      </c>
      <c r="G2449" s="42">
        <v>0</v>
      </c>
      <c r="H2449" s="42">
        <v>0.27530876999999998</v>
      </c>
      <c r="I2449" s="42">
        <v>0.99916660000000013</v>
      </c>
      <c r="J2449" s="42">
        <v>3.7353873000000003E-2</v>
      </c>
      <c r="K2449" s="42">
        <v>6.6736979E-3</v>
      </c>
      <c r="L2449" s="44">
        <v>12.587670940900002</v>
      </c>
    </row>
    <row r="2450" spans="1:12" hidden="1">
      <c r="A2450" s="41" t="s">
        <v>3277</v>
      </c>
      <c r="B2450" s="41"/>
      <c r="C2450" s="41" t="s">
        <v>826</v>
      </c>
      <c r="D2450" s="65">
        <v>26042</v>
      </c>
      <c r="E2450" s="42">
        <v>3.64</v>
      </c>
      <c r="F2450" s="43">
        <v>7.6943339000000002</v>
      </c>
      <c r="G2450" s="42">
        <v>0</v>
      </c>
      <c r="H2450" s="42">
        <v>0.27530876999999998</v>
      </c>
      <c r="I2450" s="42">
        <v>0.99916660000000013</v>
      </c>
      <c r="J2450" s="42">
        <v>3.7353873000000003E-2</v>
      </c>
      <c r="K2450" s="42">
        <v>6.6736979E-3</v>
      </c>
      <c r="L2450" s="44">
        <v>9.0128368409000004</v>
      </c>
    </row>
    <row r="2451" spans="1:12" hidden="1">
      <c r="A2451" s="41" t="s">
        <v>3278</v>
      </c>
      <c r="B2451" s="41"/>
      <c r="C2451" s="41" t="s">
        <v>826</v>
      </c>
      <c r="D2451" s="65">
        <v>26174</v>
      </c>
      <c r="E2451" s="42">
        <v>3.64</v>
      </c>
      <c r="F2451" s="43">
        <v>11.269168000000001</v>
      </c>
      <c r="G2451" s="42">
        <v>0</v>
      </c>
      <c r="H2451" s="42">
        <v>0.27530876999999998</v>
      </c>
      <c r="I2451" s="42">
        <v>0.99916660000000013</v>
      </c>
      <c r="J2451" s="42">
        <v>3.7353873000000003E-2</v>
      </c>
      <c r="K2451" s="42">
        <v>6.6736979E-3</v>
      </c>
      <c r="L2451" s="44">
        <v>12.587670940900002</v>
      </c>
    </row>
    <row r="2452" spans="1:12" hidden="1">
      <c r="A2452" s="41" t="s">
        <v>3279</v>
      </c>
      <c r="B2452" s="41"/>
      <c r="C2452" s="41" t="s">
        <v>873</v>
      </c>
      <c r="D2452" s="65">
        <v>26094</v>
      </c>
      <c r="E2452" s="42">
        <v>3.52</v>
      </c>
      <c r="F2452" s="43">
        <v>13.760308</v>
      </c>
      <c r="G2452" s="42">
        <v>0</v>
      </c>
      <c r="H2452" s="42">
        <v>0.22504651000000001</v>
      </c>
      <c r="I2452" s="42">
        <v>1.2200404</v>
      </c>
      <c r="J2452" s="42">
        <v>4.5611246000000001E-2</v>
      </c>
      <c r="K2452" s="42">
        <v>9.4039550999999999E-2</v>
      </c>
      <c r="L2452" s="44">
        <v>15.345045707000001</v>
      </c>
    </row>
    <row r="2453" spans="1:12" hidden="1">
      <c r="A2453" s="41" t="s">
        <v>3280</v>
      </c>
      <c r="B2453" s="41"/>
      <c r="C2453" s="41" t="s">
        <v>640</v>
      </c>
      <c r="D2453" s="65">
        <v>12848</v>
      </c>
      <c r="E2453" s="42">
        <v>2.4500000000000002</v>
      </c>
      <c r="F2453" s="43">
        <v>5.7904692000000004</v>
      </c>
      <c r="G2453" s="42">
        <v>0.29382051999999997</v>
      </c>
      <c r="H2453" s="42">
        <v>0.26233268999999998</v>
      </c>
      <c r="I2453" s="42">
        <v>0.21100323000000001</v>
      </c>
      <c r="J2453" s="42">
        <v>3.5969872999999999E-2</v>
      </c>
      <c r="K2453" s="42">
        <v>6.6736979E-3</v>
      </c>
      <c r="L2453" s="44">
        <v>6.6002692109000005</v>
      </c>
    </row>
    <row r="2454" spans="1:12" hidden="1">
      <c r="A2454" s="41" t="s">
        <v>3281</v>
      </c>
      <c r="B2454" s="41"/>
      <c r="C2454" s="41" t="s">
        <v>1199</v>
      </c>
      <c r="D2454" s="65">
        <v>11065</v>
      </c>
      <c r="E2454" s="42">
        <v>2.99</v>
      </c>
      <c r="F2454" s="43">
        <v>0.61979139999999999</v>
      </c>
      <c r="G2454" s="42">
        <v>0</v>
      </c>
      <c r="H2454" s="42">
        <v>0.16607674</v>
      </c>
      <c r="I2454" s="42">
        <v>0.35012575000000001</v>
      </c>
      <c r="J2454" s="42">
        <v>1.5675970000000001E-2</v>
      </c>
      <c r="K2454" s="42">
        <v>0</v>
      </c>
      <c r="L2454" s="44">
        <v>1.1516698599999999</v>
      </c>
    </row>
    <row r="2455" spans="1:12" hidden="1">
      <c r="A2455" s="41" t="s">
        <v>3282</v>
      </c>
      <c r="B2455" s="41"/>
      <c r="C2455" s="41" t="s">
        <v>1199</v>
      </c>
      <c r="D2455" s="65">
        <v>11098</v>
      </c>
      <c r="E2455" s="42">
        <v>2.99</v>
      </c>
      <c r="F2455" s="43">
        <v>0.61979139999999999</v>
      </c>
      <c r="G2455" s="42">
        <v>0</v>
      </c>
      <c r="H2455" s="42">
        <v>0.16607674</v>
      </c>
      <c r="I2455" s="42">
        <v>0.35012575000000001</v>
      </c>
      <c r="J2455" s="42">
        <v>1.5675970000000001E-2</v>
      </c>
      <c r="K2455" s="42">
        <v>0</v>
      </c>
      <c r="L2455" s="44">
        <v>1.1516698599999999</v>
      </c>
    </row>
    <row r="2456" spans="1:12" hidden="1">
      <c r="A2456" s="41" t="s">
        <v>3283</v>
      </c>
      <c r="B2456" s="41"/>
      <c r="C2456" s="41" t="s">
        <v>788</v>
      </c>
      <c r="D2456" s="65">
        <v>6513</v>
      </c>
      <c r="E2456" s="42">
        <v>2.4300000000000002</v>
      </c>
      <c r="F2456" s="43">
        <v>14.084602</v>
      </c>
      <c r="G2456" s="42">
        <v>4.6891127999999997E-2</v>
      </c>
      <c r="H2456" s="42">
        <v>0.27530876999999998</v>
      </c>
      <c r="I2456" s="42">
        <v>0.19909455000000001</v>
      </c>
      <c r="J2456" s="42">
        <v>3.7353873000000003E-2</v>
      </c>
      <c r="K2456" s="42">
        <v>6.6736979E-3</v>
      </c>
      <c r="L2456" s="44">
        <v>14.649924018900002</v>
      </c>
    </row>
    <row r="2457" spans="1:12" hidden="1">
      <c r="A2457" s="41" t="s">
        <v>3284</v>
      </c>
      <c r="B2457" s="41"/>
      <c r="C2457" s="41" t="s">
        <v>786</v>
      </c>
      <c r="D2457" s="65">
        <v>6512</v>
      </c>
      <c r="E2457" s="42">
        <v>2.4500000000000002</v>
      </c>
      <c r="F2457" s="43">
        <v>17.804646999999999</v>
      </c>
      <c r="G2457" s="42">
        <v>6.0540783000000001E-2</v>
      </c>
      <c r="H2457" s="42">
        <v>0.34762968999999999</v>
      </c>
      <c r="I2457" s="42">
        <v>0.25227301000000002</v>
      </c>
      <c r="J2457" s="42">
        <v>4.7187537000000002E-2</v>
      </c>
      <c r="K2457" s="42">
        <v>0.11950048000000001</v>
      </c>
      <c r="L2457" s="44">
        <v>18.631778499999999</v>
      </c>
    </row>
    <row r="2458" spans="1:12" hidden="1">
      <c r="A2458" s="41" t="s">
        <v>3285</v>
      </c>
      <c r="B2458" s="41"/>
      <c r="C2458" s="41" t="s">
        <v>786</v>
      </c>
      <c r="D2458" s="65">
        <v>6591</v>
      </c>
      <c r="E2458" s="42">
        <v>2.4500000000000002</v>
      </c>
      <c r="F2458" s="43">
        <v>22.240587999999999</v>
      </c>
      <c r="G2458" s="42">
        <v>7.4044423999999998E-2</v>
      </c>
      <c r="H2458" s="42">
        <v>0.43473212</v>
      </c>
      <c r="I2458" s="42">
        <v>0.31438444999999998</v>
      </c>
      <c r="J2458" s="42">
        <v>5.8984421000000002E-2</v>
      </c>
      <c r="K2458" s="42">
        <v>0.34380885999999999</v>
      </c>
      <c r="L2458" s="44">
        <v>23.466542274999998</v>
      </c>
    </row>
    <row r="2459" spans="1:12" hidden="1">
      <c r="A2459" s="41" t="s">
        <v>3286</v>
      </c>
      <c r="B2459" s="41"/>
      <c r="C2459" s="41" t="s">
        <v>788</v>
      </c>
      <c r="D2459" s="65">
        <v>6590</v>
      </c>
      <c r="E2459" s="42">
        <v>2.4300000000000002</v>
      </c>
      <c r="F2459" s="43">
        <v>17.605753</v>
      </c>
      <c r="G2459" s="42">
        <v>5.8613909999999998E-2</v>
      </c>
      <c r="H2459" s="42">
        <v>0.34413596000000002</v>
      </c>
      <c r="I2459" s="42">
        <v>0.24886818999999996</v>
      </c>
      <c r="J2459" s="42">
        <v>4.6692341999999998E-2</v>
      </c>
      <c r="K2459" s="42">
        <v>8.8693171000000001E-2</v>
      </c>
      <c r="L2459" s="44">
        <v>18.392756572999996</v>
      </c>
    </row>
    <row r="2460" spans="1:12" hidden="1">
      <c r="A2460" s="41" t="s">
        <v>3287</v>
      </c>
      <c r="B2460" s="41"/>
      <c r="C2460" s="41" t="s">
        <v>788</v>
      </c>
      <c r="D2460" s="65">
        <v>6510</v>
      </c>
      <c r="E2460" s="42">
        <v>2.4300000000000002</v>
      </c>
      <c r="F2460" s="43">
        <v>17.605753</v>
      </c>
      <c r="G2460" s="42">
        <v>5.8613909999999998E-2</v>
      </c>
      <c r="H2460" s="42">
        <v>0.34413596000000002</v>
      </c>
      <c r="I2460" s="42">
        <v>0.24886818999999996</v>
      </c>
      <c r="J2460" s="42">
        <v>4.6692341999999998E-2</v>
      </c>
      <c r="K2460" s="42">
        <v>8.8693171000000001E-2</v>
      </c>
      <c r="L2460" s="44">
        <v>18.392756572999996</v>
      </c>
    </row>
    <row r="2461" spans="1:12" hidden="1">
      <c r="A2461" s="41" t="s">
        <v>3288</v>
      </c>
      <c r="B2461" s="41"/>
      <c r="C2461" s="41" t="s">
        <v>786</v>
      </c>
      <c r="D2461" s="65">
        <v>6511</v>
      </c>
      <c r="E2461" s="42">
        <v>2.4500000000000002</v>
      </c>
      <c r="F2461" s="43">
        <v>22.252765</v>
      </c>
      <c r="G2461" s="42">
        <v>7.5349667999999995E-2</v>
      </c>
      <c r="H2461" s="42">
        <v>0.43477028000000001</v>
      </c>
      <c r="I2461" s="42">
        <v>0.31514989999999998</v>
      </c>
      <c r="J2461" s="42">
        <v>5.8984421000000002E-2</v>
      </c>
      <c r="K2461" s="42">
        <v>0.22313612999999999</v>
      </c>
      <c r="L2461" s="44">
        <v>23.360155399000003</v>
      </c>
    </row>
    <row r="2462" spans="1:12" hidden="1">
      <c r="A2462" s="41" t="s">
        <v>3289</v>
      </c>
      <c r="B2462" s="41"/>
      <c r="C2462" s="41" t="s">
        <v>786</v>
      </c>
      <c r="D2462" s="65">
        <v>6563</v>
      </c>
      <c r="E2462" s="42">
        <v>2.4500000000000002</v>
      </c>
      <c r="F2462" s="43">
        <v>17.792470000000002</v>
      </c>
      <c r="G2462" s="42">
        <v>5.9235538999999997E-2</v>
      </c>
      <c r="H2462" s="42">
        <v>0.34778568999999998</v>
      </c>
      <c r="I2462" s="42">
        <v>0.25150756000000002</v>
      </c>
      <c r="J2462" s="42">
        <v>4.7187537000000002E-2</v>
      </c>
      <c r="K2462" s="42">
        <v>0.20346818</v>
      </c>
      <c r="L2462" s="44">
        <v>18.701654506000001</v>
      </c>
    </row>
    <row r="2463" spans="1:12" hidden="1">
      <c r="A2463" s="41" t="s">
        <v>3290</v>
      </c>
      <c r="B2463" s="41"/>
      <c r="C2463" s="41" t="s">
        <v>788</v>
      </c>
      <c r="D2463" s="65">
        <v>6560</v>
      </c>
      <c r="E2463" s="42">
        <v>2.4300000000000002</v>
      </c>
      <c r="F2463" s="43">
        <v>14.084602</v>
      </c>
      <c r="G2463" s="42">
        <v>4.6891127999999997E-2</v>
      </c>
      <c r="H2463" s="42">
        <v>0.27530876999999998</v>
      </c>
      <c r="I2463" s="42">
        <v>0.19909455000000001</v>
      </c>
      <c r="J2463" s="42">
        <v>3.7353873000000003E-2</v>
      </c>
      <c r="K2463" s="42">
        <v>6.6736979E-3</v>
      </c>
      <c r="L2463" s="44">
        <v>14.649924018900002</v>
      </c>
    </row>
    <row r="2464" spans="1:12" hidden="1">
      <c r="A2464" s="41" t="s">
        <v>3291</v>
      </c>
      <c r="B2464" s="41"/>
      <c r="C2464" s="41" t="s">
        <v>786</v>
      </c>
      <c r="D2464" s="65">
        <v>6562</v>
      </c>
      <c r="E2464" s="42">
        <v>2.4500000000000002</v>
      </c>
      <c r="F2464" s="43">
        <v>17.804646999999999</v>
      </c>
      <c r="G2464" s="42">
        <v>6.0540783000000001E-2</v>
      </c>
      <c r="H2464" s="42">
        <v>0.34762968999999999</v>
      </c>
      <c r="I2464" s="42">
        <v>0.25227301000000002</v>
      </c>
      <c r="J2464" s="42">
        <v>4.7187537000000002E-2</v>
      </c>
      <c r="K2464" s="42">
        <v>0.11950048000000001</v>
      </c>
      <c r="L2464" s="44">
        <v>18.631778499999999</v>
      </c>
    </row>
    <row r="2465" spans="1:12" hidden="1">
      <c r="A2465" s="41" t="s">
        <v>3292</v>
      </c>
      <c r="B2465" s="41"/>
      <c r="C2465" s="41" t="s">
        <v>1005</v>
      </c>
      <c r="D2465" s="65">
        <v>25173</v>
      </c>
      <c r="E2465" s="42">
        <v>2.35</v>
      </c>
      <c r="F2465" s="43">
        <v>17.418068999999999</v>
      </c>
      <c r="G2465" s="42">
        <v>0.10912141</v>
      </c>
      <c r="H2465" s="42">
        <v>0.27728658</v>
      </c>
      <c r="I2465" s="42">
        <v>0.20600813000000001</v>
      </c>
      <c r="J2465" s="42">
        <v>3.7768032999999999E-2</v>
      </c>
      <c r="K2465" s="42">
        <v>9.2564276000000001E-2</v>
      </c>
      <c r="L2465" s="44">
        <v>18.140817428999998</v>
      </c>
    </row>
    <row r="2466" spans="1:12" hidden="1">
      <c r="A2466" s="41" t="s">
        <v>3293</v>
      </c>
      <c r="B2466" s="41"/>
      <c r="C2466" s="41" t="s">
        <v>788</v>
      </c>
      <c r="D2466" s="65">
        <v>6521</v>
      </c>
      <c r="E2466" s="42">
        <v>2.63</v>
      </c>
      <c r="F2466" s="43">
        <v>17.605753</v>
      </c>
      <c r="G2466" s="42">
        <v>0.10803934</v>
      </c>
      <c r="H2466" s="42">
        <v>0.27530876999999998</v>
      </c>
      <c r="I2466" s="42">
        <v>0.20167773999999999</v>
      </c>
      <c r="J2466" s="42">
        <v>3.7353873000000003E-2</v>
      </c>
      <c r="K2466" s="42">
        <v>6.6736979E-3</v>
      </c>
      <c r="L2466" s="44">
        <v>18.2348064209</v>
      </c>
    </row>
    <row r="2467" spans="1:12" hidden="1">
      <c r="A2467" s="41" t="s">
        <v>3294</v>
      </c>
      <c r="B2467" s="41"/>
      <c r="C2467" s="41" t="s">
        <v>786</v>
      </c>
      <c r="D2467" s="65">
        <v>6520</v>
      </c>
      <c r="E2467" s="42">
        <v>2.64</v>
      </c>
      <c r="F2467" s="43">
        <v>22.240587999999999</v>
      </c>
      <c r="G2467" s="42">
        <v>0.13648144000000001</v>
      </c>
      <c r="H2467" s="42">
        <v>0.34778568999999998</v>
      </c>
      <c r="I2467" s="42">
        <v>0.25477079000000002</v>
      </c>
      <c r="J2467" s="42">
        <v>4.7187537000000002E-2</v>
      </c>
      <c r="K2467" s="42">
        <v>9.4321172999999994E-2</v>
      </c>
      <c r="L2467" s="44">
        <v>23.121134629999997</v>
      </c>
    </row>
    <row r="2468" spans="1:12" hidden="1">
      <c r="A2468" s="41" t="s">
        <v>3295</v>
      </c>
      <c r="B2468" s="41"/>
      <c r="C2468" s="41" t="s">
        <v>788</v>
      </c>
      <c r="D2468" s="65">
        <v>6530</v>
      </c>
      <c r="E2468" s="42">
        <v>2.63</v>
      </c>
      <c r="F2468" s="43">
        <v>17.605753</v>
      </c>
      <c r="G2468" s="42">
        <v>0.10803934</v>
      </c>
      <c r="H2468" s="42">
        <v>0.27530876999999998</v>
      </c>
      <c r="I2468" s="42">
        <v>0.20167773999999999</v>
      </c>
      <c r="J2468" s="42">
        <v>3.7353873000000003E-2</v>
      </c>
      <c r="K2468" s="42">
        <v>6.6736979E-3</v>
      </c>
      <c r="L2468" s="44">
        <v>18.2348064209</v>
      </c>
    </row>
    <row r="2469" spans="1:12" hidden="1">
      <c r="A2469" s="41" t="s">
        <v>3296</v>
      </c>
      <c r="B2469" s="41"/>
      <c r="C2469" s="41" t="s">
        <v>786</v>
      </c>
      <c r="D2469" s="65">
        <v>6531</v>
      </c>
      <c r="E2469" s="42">
        <v>2.64</v>
      </c>
      <c r="F2469" s="43">
        <v>22.240587999999999</v>
      </c>
      <c r="G2469" s="42">
        <v>0.13648144000000001</v>
      </c>
      <c r="H2469" s="42">
        <v>0.34778568999999998</v>
      </c>
      <c r="I2469" s="42">
        <v>0.25477079000000002</v>
      </c>
      <c r="J2469" s="42">
        <v>4.7187537000000002E-2</v>
      </c>
      <c r="K2469" s="42">
        <v>9.4321172999999994E-2</v>
      </c>
      <c r="L2469" s="44">
        <v>23.121134629999997</v>
      </c>
    </row>
    <row r="2470" spans="1:12" hidden="1">
      <c r="A2470" s="41" t="s">
        <v>3297</v>
      </c>
      <c r="B2470" s="41"/>
      <c r="C2470" s="41" t="s">
        <v>786</v>
      </c>
      <c r="D2470" s="65">
        <v>6581</v>
      </c>
      <c r="E2470" s="42">
        <v>2.4500000000000002</v>
      </c>
      <c r="F2470" s="43">
        <v>22.240587999999999</v>
      </c>
      <c r="G2470" s="42">
        <v>7.4044423999999998E-2</v>
      </c>
      <c r="H2470" s="42">
        <v>0.43473212</v>
      </c>
      <c r="I2470" s="42">
        <v>0.31438444999999998</v>
      </c>
      <c r="J2470" s="42">
        <v>5.8984421000000002E-2</v>
      </c>
      <c r="K2470" s="42">
        <v>0.34380885999999999</v>
      </c>
      <c r="L2470" s="44">
        <v>23.466542274999998</v>
      </c>
    </row>
    <row r="2471" spans="1:12" hidden="1">
      <c r="A2471" s="41" t="s">
        <v>3298</v>
      </c>
      <c r="B2471" s="41"/>
      <c r="C2471" s="41" t="s">
        <v>788</v>
      </c>
      <c r="D2471" s="65">
        <v>6583</v>
      </c>
      <c r="E2471" s="42">
        <v>2.4300000000000002</v>
      </c>
      <c r="F2471" s="43">
        <v>17.605753</v>
      </c>
      <c r="G2471" s="42">
        <v>5.8613909999999998E-2</v>
      </c>
      <c r="H2471" s="42">
        <v>0.34413596000000002</v>
      </c>
      <c r="I2471" s="42">
        <v>0.24886818999999996</v>
      </c>
      <c r="J2471" s="42">
        <v>4.6692341999999998E-2</v>
      </c>
      <c r="K2471" s="42">
        <v>8.8693171000000001E-2</v>
      </c>
      <c r="L2471" s="44">
        <v>18.392756572999996</v>
      </c>
    </row>
    <row r="2472" spans="1:12" hidden="1">
      <c r="A2472" s="41" t="s">
        <v>3299</v>
      </c>
      <c r="B2472" s="41"/>
      <c r="C2472" s="41" t="s">
        <v>788</v>
      </c>
      <c r="D2472" s="65">
        <v>6522</v>
      </c>
      <c r="E2472" s="42">
        <v>2.63</v>
      </c>
      <c r="F2472" s="43">
        <v>17.605753</v>
      </c>
      <c r="G2472" s="42">
        <v>0.10803934</v>
      </c>
      <c r="H2472" s="42">
        <v>0.27530876999999998</v>
      </c>
      <c r="I2472" s="42">
        <v>0.20167773999999999</v>
      </c>
      <c r="J2472" s="42">
        <v>3.7353873000000003E-2</v>
      </c>
      <c r="K2472" s="42">
        <v>6.6736979E-3</v>
      </c>
      <c r="L2472" s="44">
        <v>18.2348064209</v>
      </c>
    </row>
    <row r="2473" spans="1:12" hidden="1">
      <c r="A2473" s="41" t="s">
        <v>3300</v>
      </c>
      <c r="B2473" s="41"/>
      <c r="C2473" s="41" t="s">
        <v>786</v>
      </c>
      <c r="D2473" s="65">
        <v>6523</v>
      </c>
      <c r="E2473" s="42">
        <v>2.64</v>
      </c>
      <c r="F2473" s="43">
        <v>22.252765</v>
      </c>
      <c r="G2473" s="42">
        <v>0.13778668999999999</v>
      </c>
      <c r="H2473" s="42">
        <v>0.34762968999999999</v>
      </c>
      <c r="I2473" s="42">
        <v>0.25553624000000003</v>
      </c>
      <c r="J2473" s="42">
        <v>4.7187537000000002E-2</v>
      </c>
      <c r="K2473" s="42">
        <v>0.11950048000000001</v>
      </c>
      <c r="L2473" s="44">
        <v>23.160405637</v>
      </c>
    </row>
    <row r="2474" spans="1:12" hidden="1">
      <c r="A2474" s="41" t="s">
        <v>3301</v>
      </c>
      <c r="B2474" s="41"/>
      <c r="C2474" s="41" t="s">
        <v>786</v>
      </c>
      <c r="D2474" s="65">
        <v>6524</v>
      </c>
      <c r="E2474" s="42">
        <v>2.64</v>
      </c>
      <c r="F2474" s="43">
        <v>22.240587999999999</v>
      </c>
      <c r="G2474" s="42">
        <v>0.13648144000000001</v>
      </c>
      <c r="H2474" s="42">
        <v>0.34778568999999998</v>
      </c>
      <c r="I2474" s="42">
        <v>0.25477079000000002</v>
      </c>
      <c r="J2474" s="42">
        <v>4.7187537000000002E-2</v>
      </c>
      <c r="K2474" s="42">
        <v>9.4321172999999994E-2</v>
      </c>
      <c r="L2474" s="44">
        <v>23.121134629999997</v>
      </c>
    </row>
    <row r="2475" spans="1:12" hidden="1">
      <c r="A2475" s="37" t="s">
        <v>3302</v>
      </c>
      <c r="B2475" s="37"/>
      <c r="C2475" s="37" t="s">
        <v>788</v>
      </c>
      <c r="D2475" s="64">
        <v>6580</v>
      </c>
      <c r="E2475" s="38">
        <v>2.4300000000000002</v>
      </c>
      <c r="F2475" s="39">
        <v>17.605753</v>
      </c>
      <c r="G2475" s="38">
        <v>5.8613909999999998E-2</v>
      </c>
      <c r="H2475" s="38">
        <v>0.34413596000000002</v>
      </c>
      <c r="I2475" s="38">
        <v>0.24886818999999999</v>
      </c>
      <c r="J2475" s="38">
        <v>4.6692341999999998E-2</v>
      </c>
      <c r="K2475" s="38">
        <v>8.8693171000000001E-2</v>
      </c>
      <c r="L2475" s="40">
        <v>18.392756572999996</v>
      </c>
    </row>
    <row r="2476" spans="1:12" hidden="1">
      <c r="A2476" s="41" t="s">
        <v>3303</v>
      </c>
      <c r="B2476" s="41"/>
      <c r="C2476" s="41" t="s">
        <v>788</v>
      </c>
      <c r="D2476" s="65">
        <v>6540</v>
      </c>
      <c r="E2476" s="42">
        <v>2.4300000000000002</v>
      </c>
      <c r="F2476" s="43">
        <v>14.084602</v>
      </c>
      <c r="G2476" s="42">
        <v>4.6891127999999997E-2</v>
      </c>
      <c r="H2476" s="42">
        <v>0.27530876999999998</v>
      </c>
      <c r="I2476" s="42">
        <v>0.19909455000000001</v>
      </c>
      <c r="J2476" s="42">
        <v>3.7353873000000003E-2</v>
      </c>
      <c r="K2476" s="42">
        <v>6.6736979E-3</v>
      </c>
      <c r="L2476" s="44">
        <v>14.649924018900002</v>
      </c>
    </row>
    <row r="2477" spans="1:12" hidden="1">
      <c r="A2477" s="41" t="s">
        <v>3304</v>
      </c>
      <c r="B2477" s="41"/>
      <c r="C2477" s="41" t="s">
        <v>788</v>
      </c>
      <c r="D2477" s="65">
        <v>6550</v>
      </c>
      <c r="E2477" s="42">
        <v>2.63</v>
      </c>
      <c r="F2477" s="43">
        <v>22.007190999999999</v>
      </c>
      <c r="G2477" s="42">
        <v>0.13504917999999999</v>
      </c>
      <c r="H2477" s="42">
        <v>0.34413596000000002</v>
      </c>
      <c r="I2477" s="42">
        <v>0.25209716999999998</v>
      </c>
      <c r="J2477" s="42">
        <v>4.6692341999999998E-2</v>
      </c>
      <c r="K2477" s="42">
        <v>8.8693171000000001E-2</v>
      </c>
      <c r="L2477" s="44">
        <v>22.873858822999996</v>
      </c>
    </row>
    <row r="2478" spans="1:12" hidden="1">
      <c r="A2478" s="41" t="s">
        <v>3305</v>
      </c>
      <c r="B2478" s="41"/>
      <c r="C2478" s="41" t="s">
        <v>786</v>
      </c>
      <c r="D2478" s="65">
        <v>6551</v>
      </c>
      <c r="E2478" s="42">
        <v>2.64</v>
      </c>
      <c r="F2478" s="43">
        <v>27.800735</v>
      </c>
      <c r="G2478" s="42">
        <v>0.1706018</v>
      </c>
      <c r="H2478" s="42">
        <v>0.43473212</v>
      </c>
      <c r="I2478" s="42">
        <v>0.31846349000000002</v>
      </c>
      <c r="J2478" s="42">
        <v>5.8984421000000002E-2</v>
      </c>
      <c r="K2478" s="42">
        <v>0.19793284</v>
      </c>
      <c r="L2478" s="44">
        <v>28.981449671</v>
      </c>
    </row>
    <row r="2479" spans="1:12" hidden="1">
      <c r="A2479" s="41" t="s">
        <v>3306</v>
      </c>
      <c r="B2479" s="41"/>
      <c r="C2479" s="41" t="s">
        <v>788</v>
      </c>
      <c r="D2479" s="65">
        <v>6536</v>
      </c>
      <c r="E2479" s="42">
        <v>2.0299999999999998</v>
      </c>
      <c r="F2479" s="43">
        <v>21.599222999999999</v>
      </c>
      <c r="G2479" s="42">
        <v>0.24383874</v>
      </c>
      <c r="H2479" s="42">
        <v>0.27530876999999998</v>
      </c>
      <c r="I2479" s="42">
        <v>0.20460743000000001</v>
      </c>
      <c r="J2479" s="42">
        <v>3.7353873000000003E-2</v>
      </c>
      <c r="K2479" s="42">
        <v>6.6736979E-3</v>
      </c>
      <c r="L2479" s="44">
        <v>22.367005510899997</v>
      </c>
    </row>
    <row r="2480" spans="1:12" hidden="1">
      <c r="A2480" s="41" t="s">
        <v>3307</v>
      </c>
      <c r="B2480" s="41"/>
      <c r="C2480" s="41" t="s">
        <v>788</v>
      </c>
      <c r="D2480" s="65">
        <v>6535</v>
      </c>
      <c r="E2480" s="42">
        <v>2.4700000000000002</v>
      </c>
      <c r="F2480" s="43">
        <v>21.599222999999999</v>
      </c>
      <c r="G2480" s="42">
        <v>0.24383874</v>
      </c>
      <c r="H2480" s="42">
        <v>0.27530876999999998</v>
      </c>
      <c r="I2480" s="42">
        <v>0.20460743000000001</v>
      </c>
      <c r="J2480" s="42">
        <v>3.7353873000000003E-2</v>
      </c>
      <c r="K2480" s="42">
        <v>6.6736979E-3</v>
      </c>
      <c r="L2480" s="44">
        <v>22.367005510899997</v>
      </c>
    </row>
    <row r="2481" spans="1:12" hidden="1">
      <c r="A2481" s="37" t="s">
        <v>3308</v>
      </c>
      <c r="B2481" s="37"/>
      <c r="C2481" s="37" t="s">
        <v>786</v>
      </c>
      <c r="D2481" s="64">
        <v>6582</v>
      </c>
      <c r="E2481" s="38">
        <v>2.4500000000000002</v>
      </c>
      <c r="F2481" s="39">
        <v>22.240587999999999</v>
      </c>
      <c r="G2481" s="38">
        <v>7.4044423999999998E-2</v>
      </c>
      <c r="H2481" s="38">
        <v>0.43473212</v>
      </c>
      <c r="I2481" s="38">
        <v>0.31438444999999998</v>
      </c>
      <c r="J2481" s="38">
        <v>5.8984421000000002E-2</v>
      </c>
      <c r="K2481" s="38">
        <v>0.34380885999999999</v>
      </c>
      <c r="L2481" s="40">
        <v>23.466542274999998</v>
      </c>
    </row>
    <row r="2482" spans="1:12" hidden="1">
      <c r="A2482" s="41" t="s">
        <v>3309</v>
      </c>
      <c r="B2482" s="41"/>
      <c r="C2482" s="41" t="s">
        <v>816</v>
      </c>
      <c r="D2482" s="65">
        <v>9901</v>
      </c>
      <c r="E2482" s="42">
        <v>2.5499999999999998</v>
      </c>
      <c r="F2482" s="43">
        <v>0.67790136000000001</v>
      </c>
      <c r="G2482" s="42">
        <v>0.15281539999999999</v>
      </c>
      <c r="H2482" s="42">
        <v>0.18549789</v>
      </c>
      <c r="I2482" s="42">
        <v>0.25464368999999998</v>
      </c>
      <c r="J2482" s="42">
        <v>2.9337966E-2</v>
      </c>
      <c r="K2482" s="42">
        <v>1.1022624E-2</v>
      </c>
      <c r="L2482" s="44">
        <v>1.3112189299999999</v>
      </c>
    </row>
    <row r="2483" spans="1:12" hidden="1">
      <c r="A2483" s="41" t="s">
        <v>3310</v>
      </c>
      <c r="B2483" s="41"/>
      <c r="C2483" s="41" t="s">
        <v>816</v>
      </c>
      <c r="D2483" s="65">
        <v>9900</v>
      </c>
      <c r="E2483" s="42">
        <v>2.5499999999999998</v>
      </c>
      <c r="F2483" s="43">
        <v>0.82703965999999995</v>
      </c>
      <c r="G2483" s="42">
        <v>4.9986751000000003E-2</v>
      </c>
      <c r="H2483" s="42">
        <v>0.27079121</v>
      </c>
      <c r="I2483" s="42">
        <v>0.28736676999999999</v>
      </c>
      <c r="J2483" s="42">
        <v>1.0542094E-2</v>
      </c>
      <c r="K2483" s="42">
        <v>0</v>
      </c>
      <c r="L2483" s="44">
        <v>1.445726485</v>
      </c>
    </row>
    <row r="2484" spans="1:12" hidden="1">
      <c r="A2484" s="41" t="s">
        <v>3311</v>
      </c>
      <c r="B2484" s="41"/>
      <c r="C2484" s="41" t="s">
        <v>657</v>
      </c>
      <c r="D2484" s="65">
        <v>5201</v>
      </c>
      <c r="E2484" s="42">
        <v>3.01</v>
      </c>
      <c r="F2484" s="43">
        <v>0.35046445999999998</v>
      </c>
      <c r="G2484" s="42">
        <v>5.0624010999999997E-2</v>
      </c>
      <c r="H2484" s="42">
        <v>0.47782284000000003</v>
      </c>
      <c r="I2484" s="42">
        <v>0.30982659000000001</v>
      </c>
      <c r="J2484" s="42">
        <v>3.5907992E-2</v>
      </c>
      <c r="K2484" s="42">
        <v>6.6736979E-3</v>
      </c>
      <c r="L2484" s="44">
        <v>1.2313195909000001</v>
      </c>
    </row>
    <row r="2485" spans="1:12" hidden="1">
      <c r="A2485" s="41" t="s">
        <v>3312</v>
      </c>
      <c r="B2485" s="41"/>
      <c r="C2485" s="41" t="s">
        <v>657</v>
      </c>
      <c r="D2485" s="65">
        <v>5209</v>
      </c>
      <c r="E2485" s="42">
        <v>3.01</v>
      </c>
      <c r="F2485" s="43">
        <v>0.35046445999999998</v>
      </c>
      <c r="G2485" s="42">
        <v>5.0624010999999997E-2</v>
      </c>
      <c r="H2485" s="42">
        <v>0.47782284000000003</v>
      </c>
      <c r="I2485" s="42">
        <v>0.30982659000000001</v>
      </c>
      <c r="J2485" s="42">
        <v>3.5907992E-2</v>
      </c>
      <c r="K2485" s="42">
        <v>6.6736979E-3</v>
      </c>
      <c r="L2485" s="44">
        <v>1.2313195909000001</v>
      </c>
    </row>
    <row r="2486" spans="1:12" hidden="1">
      <c r="A2486" s="41" t="s">
        <v>3313</v>
      </c>
      <c r="B2486" s="41"/>
      <c r="C2486" s="41" t="s">
        <v>657</v>
      </c>
      <c r="D2486" s="65">
        <v>5215</v>
      </c>
      <c r="E2486" s="42">
        <v>3.01</v>
      </c>
      <c r="F2486" s="43">
        <v>0.35046445999999998</v>
      </c>
      <c r="G2486" s="42">
        <v>5.0624010999999997E-2</v>
      </c>
      <c r="H2486" s="42">
        <v>0.47782284000000003</v>
      </c>
      <c r="I2486" s="42">
        <v>0.30982659000000001</v>
      </c>
      <c r="J2486" s="42">
        <v>3.5907992E-2</v>
      </c>
      <c r="K2486" s="42">
        <v>6.6736979E-3</v>
      </c>
      <c r="L2486" s="44">
        <v>1.2313195909000001</v>
      </c>
    </row>
    <row r="2487" spans="1:12" hidden="1">
      <c r="A2487" s="41" t="s">
        <v>3314</v>
      </c>
      <c r="B2487" s="41"/>
      <c r="C2487" s="41" t="s">
        <v>657</v>
      </c>
      <c r="D2487" s="65">
        <v>1006</v>
      </c>
      <c r="E2487" s="42">
        <v>3.01</v>
      </c>
      <c r="F2487" s="43">
        <v>0.35046445999999998</v>
      </c>
      <c r="G2487" s="42">
        <v>5.0624010999999997E-2</v>
      </c>
      <c r="H2487" s="42">
        <v>0.47782284000000003</v>
      </c>
      <c r="I2487" s="42">
        <v>0.19300566</v>
      </c>
      <c r="J2487" s="42">
        <v>1.5380971000000002E-2</v>
      </c>
      <c r="K2487" s="42">
        <v>6.6736979E-3</v>
      </c>
      <c r="L2487" s="44">
        <v>1.0939716398999999</v>
      </c>
    </row>
    <row r="2488" spans="1:12" hidden="1">
      <c r="A2488" s="41" t="s">
        <v>3315</v>
      </c>
      <c r="B2488" s="41"/>
      <c r="C2488" s="41" t="s">
        <v>657</v>
      </c>
      <c r="D2488" s="65">
        <v>5216</v>
      </c>
      <c r="E2488" s="42">
        <v>2.69</v>
      </c>
      <c r="F2488" s="43">
        <v>0.32821025999999998</v>
      </c>
      <c r="G2488" s="42">
        <v>2.8556892E-2</v>
      </c>
      <c r="H2488" s="42">
        <v>0.47782284000000003</v>
      </c>
      <c r="I2488" s="42">
        <v>0.30870543</v>
      </c>
      <c r="J2488" s="42">
        <v>3.5907992E-2</v>
      </c>
      <c r="K2488" s="42">
        <v>6.6736979E-3</v>
      </c>
      <c r="L2488" s="44">
        <v>1.1858771119</v>
      </c>
    </row>
    <row r="2489" spans="1:12" hidden="1">
      <c r="A2489" s="41" t="s">
        <v>3316</v>
      </c>
      <c r="B2489" s="41"/>
      <c r="C2489" s="41" t="s">
        <v>657</v>
      </c>
      <c r="D2489" s="65">
        <v>5214</v>
      </c>
      <c r="E2489" s="42">
        <v>3.18</v>
      </c>
      <c r="F2489" s="43">
        <v>0.28869136000000001</v>
      </c>
      <c r="G2489" s="42">
        <v>0.12484795999999999</v>
      </c>
      <c r="H2489" s="42">
        <v>0.56487392000000003</v>
      </c>
      <c r="I2489" s="42">
        <v>0.18988631</v>
      </c>
      <c r="J2489" s="42">
        <v>1.5380971000000002E-2</v>
      </c>
      <c r="K2489" s="42">
        <v>6.6736979E-3</v>
      </c>
      <c r="L2489" s="44">
        <v>1.1903542188999998</v>
      </c>
    </row>
    <row r="2490" spans="1:12" hidden="1">
      <c r="A2490" s="41" t="s">
        <v>3317</v>
      </c>
      <c r="B2490" s="41"/>
      <c r="C2490" s="41" t="s">
        <v>2307</v>
      </c>
      <c r="D2490" s="65">
        <v>11018</v>
      </c>
      <c r="E2490" s="42">
        <v>3.2</v>
      </c>
      <c r="F2490" s="43">
        <v>0.28869136000000001</v>
      </c>
      <c r="G2490" s="42">
        <v>0.12484795999999999</v>
      </c>
      <c r="H2490" s="42">
        <v>0.56487392000000003</v>
      </c>
      <c r="I2490" s="42">
        <v>0.18988631</v>
      </c>
      <c r="J2490" s="42">
        <v>1.5350219999999999E-2</v>
      </c>
      <c r="K2490" s="42">
        <v>0</v>
      </c>
      <c r="L2490" s="44">
        <v>1.1836497699999999</v>
      </c>
    </row>
    <row r="2491" spans="1:12" hidden="1">
      <c r="A2491" s="41" t="s">
        <v>3318</v>
      </c>
      <c r="B2491" s="41"/>
      <c r="C2491" s="41" t="s">
        <v>2307</v>
      </c>
      <c r="D2491" s="65">
        <v>11091</v>
      </c>
      <c r="E2491" s="42">
        <v>3.2</v>
      </c>
      <c r="F2491" s="43">
        <v>0.28869136000000001</v>
      </c>
      <c r="G2491" s="42">
        <v>0.12484795999999999</v>
      </c>
      <c r="H2491" s="42">
        <v>0.56487392000000003</v>
      </c>
      <c r="I2491" s="42">
        <v>0.18988631</v>
      </c>
      <c r="J2491" s="42">
        <v>1.5350219999999999E-2</v>
      </c>
      <c r="K2491" s="42">
        <v>0</v>
      </c>
      <c r="L2491" s="44">
        <v>1.1836497699999999</v>
      </c>
    </row>
    <row r="2492" spans="1:12" hidden="1">
      <c r="A2492" s="41" t="s">
        <v>3319</v>
      </c>
      <c r="B2492" s="41"/>
      <c r="C2492" s="41" t="s">
        <v>2307</v>
      </c>
      <c r="D2492" s="65">
        <v>11090</v>
      </c>
      <c r="E2492" s="42">
        <v>2.62</v>
      </c>
      <c r="F2492" s="43">
        <v>0.12445425999999998</v>
      </c>
      <c r="G2492" s="42">
        <v>0.11571353</v>
      </c>
      <c r="H2492" s="42">
        <v>0.47782284000000003</v>
      </c>
      <c r="I2492" s="42">
        <v>0.18547073</v>
      </c>
      <c r="J2492" s="42">
        <v>1.5350219999999999E-2</v>
      </c>
      <c r="K2492" s="42">
        <v>0</v>
      </c>
      <c r="L2492" s="44">
        <v>0.91881158000000007</v>
      </c>
    </row>
    <row r="2493" spans="1:12" hidden="1">
      <c r="A2493" s="41" t="s">
        <v>3320</v>
      </c>
      <c r="B2493" s="41"/>
      <c r="C2493" s="41" t="s">
        <v>826</v>
      </c>
      <c r="D2493" s="65">
        <v>26146</v>
      </c>
      <c r="E2493" s="42">
        <v>3.68</v>
      </c>
      <c r="F2493" s="43">
        <v>3.1312416999999999</v>
      </c>
      <c r="G2493" s="42">
        <v>0</v>
      </c>
      <c r="H2493" s="42">
        <v>0.27530876999999998</v>
      </c>
      <c r="I2493" s="42">
        <v>0.78496268999999996</v>
      </c>
      <c r="J2493" s="42">
        <v>3.7353873000000003E-2</v>
      </c>
      <c r="K2493" s="42">
        <v>6.6736979E-3</v>
      </c>
      <c r="L2493" s="44">
        <v>4.2355407308999995</v>
      </c>
    </row>
    <row r="2494" spans="1:12" hidden="1">
      <c r="A2494" s="41" t="s">
        <v>3321</v>
      </c>
      <c r="B2494" s="41"/>
      <c r="C2494" s="41" t="s">
        <v>873</v>
      </c>
      <c r="D2494" s="65">
        <v>26147</v>
      </c>
      <c r="E2494" s="42">
        <v>3.56</v>
      </c>
      <c r="F2494" s="43">
        <v>3.8234276999999999</v>
      </c>
      <c r="G2494" s="42">
        <v>0</v>
      </c>
      <c r="H2494" s="42">
        <v>0.22504651000000001</v>
      </c>
      <c r="I2494" s="42">
        <v>0.95848498999999998</v>
      </c>
      <c r="J2494" s="42">
        <v>4.5611246000000001E-2</v>
      </c>
      <c r="K2494" s="42">
        <v>9.4039550999999999E-2</v>
      </c>
      <c r="L2494" s="44">
        <v>5.1466099969999997</v>
      </c>
    </row>
    <row r="2495" spans="1:12" hidden="1">
      <c r="A2495" s="41" t="s">
        <v>3322</v>
      </c>
      <c r="B2495" s="41"/>
      <c r="C2495" s="41" t="s">
        <v>657</v>
      </c>
      <c r="D2495" s="65">
        <v>1008</v>
      </c>
      <c r="E2495" s="42">
        <v>3.29</v>
      </c>
      <c r="F2495" s="43">
        <v>6.2203355000000002E-3</v>
      </c>
      <c r="G2495" s="42">
        <v>0.35111300000000001</v>
      </c>
      <c r="H2495" s="42">
        <v>0.47782284000000003</v>
      </c>
      <c r="I2495" s="42">
        <v>0.17638297999999999</v>
      </c>
      <c r="J2495" s="42">
        <v>1.5108570999999999E-2</v>
      </c>
      <c r="K2495" s="42">
        <v>6.6736979E-3</v>
      </c>
      <c r="L2495" s="44">
        <v>1.0333214244000002</v>
      </c>
    </row>
    <row r="2496" spans="1:12" hidden="1">
      <c r="A2496" s="41" t="s">
        <v>3323</v>
      </c>
      <c r="B2496" s="41"/>
      <c r="C2496" s="41" t="s">
        <v>1005</v>
      </c>
      <c r="D2496" s="65">
        <v>25512</v>
      </c>
      <c r="E2496" s="42">
        <v>2.79</v>
      </c>
      <c r="F2496" s="43">
        <v>4.5091738000000001</v>
      </c>
      <c r="G2496" s="42">
        <v>0.58803899999999998</v>
      </c>
      <c r="H2496" s="42">
        <v>0.47571247999999999</v>
      </c>
      <c r="I2496" s="42">
        <v>0.20748216</v>
      </c>
      <c r="J2496" s="42">
        <v>3.7768032999999999E-2</v>
      </c>
      <c r="K2496" s="42">
        <v>9.2564276000000001E-2</v>
      </c>
      <c r="L2496" s="44">
        <v>5.9107397490000002</v>
      </c>
    </row>
    <row r="2497" spans="1:12" hidden="1">
      <c r="A2497" s="41" t="s">
        <v>3324</v>
      </c>
      <c r="B2497" s="41"/>
      <c r="C2497" s="41" t="s">
        <v>784</v>
      </c>
      <c r="D2497" s="65">
        <v>20984</v>
      </c>
      <c r="E2497" s="42">
        <v>2.99</v>
      </c>
      <c r="F2497" s="43">
        <v>4.5528129000000002</v>
      </c>
      <c r="G2497" s="42">
        <v>1.4896054000000001</v>
      </c>
      <c r="H2497" s="42">
        <v>0.28987795999999999</v>
      </c>
      <c r="I2497" s="42">
        <v>0.38352982000000002</v>
      </c>
      <c r="J2497" s="42">
        <v>2.0039066000000001E-2</v>
      </c>
      <c r="K2497" s="42">
        <v>9.9403358999999997E-3</v>
      </c>
      <c r="L2497" s="44">
        <v>6.7458054818999997</v>
      </c>
    </row>
    <row r="2498" spans="1:12" hidden="1">
      <c r="A2498" s="37" t="s">
        <v>3325</v>
      </c>
      <c r="B2498" s="37"/>
      <c r="C2498" s="37" t="s">
        <v>784</v>
      </c>
      <c r="D2498" s="64">
        <v>20999</v>
      </c>
      <c r="E2498" s="38">
        <v>2.99</v>
      </c>
      <c r="F2498" s="39">
        <v>4.5528129000000002</v>
      </c>
      <c r="G2498" s="38">
        <v>1.4896054000000001</v>
      </c>
      <c r="H2498" s="38">
        <v>0.28987795999999999</v>
      </c>
      <c r="I2498" s="38">
        <v>0.19846865999999999</v>
      </c>
      <c r="J2498" s="38">
        <v>2.0039066000000001E-2</v>
      </c>
      <c r="K2498" s="38">
        <v>9.9403358999999997E-3</v>
      </c>
      <c r="L2498" s="40">
        <v>6.5607443218999997</v>
      </c>
    </row>
    <row r="2499" spans="1:12" hidden="1">
      <c r="A2499" s="41" t="s">
        <v>3326</v>
      </c>
      <c r="B2499" s="41"/>
      <c r="C2499" s="41" t="s">
        <v>657</v>
      </c>
      <c r="D2499" s="65">
        <v>1005</v>
      </c>
      <c r="E2499" s="42">
        <v>3.29</v>
      </c>
      <c r="F2499" s="43">
        <v>6.2203355000000002E-3</v>
      </c>
      <c r="G2499" s="42">
        <v>0.35111300000000001</v>
      </c>
      <c r="H2499" s="42">
        <v>0.47782284000000003</v>
      </c>
      <c r="I2499" s="42">
        <v>0.17638297999999999</v>
      </c>
      <c r="J2499" s="42">
        <v>1.5108570999999999E-2</v>
      </c>
      <c r="K2499" s="42">
        <v>6.6736979E-3</v>
      </c>
      <c r="L2499" s="44">
        <v>1.0333214244000002</v>
      </c>
    </row>
    <row r="2500" spans="1:12" hidden="1">
      <c r="A2500" s="41" t="s">
        <v>3327</v>
      </c>
      <c r="B2500" s="41"/>
      <c r="C2500" s="41" t="s">
        <v>674</v>
      </c>
      <c r="D2500" s="65">
        <v>7815</v>
      </c>
      <c r="E2500" s="42">
        <v>2.2582292994679944</v>
      </c>
      <c r="F2500" s="43">
        <v>0.33920609000000002</v>
      </c>
      <c r="G2500" s="42">
        <v>0.69016849999999996</v>
      </c>
      <c r="H2500" s="42">
        <v>0.11386565</v>
      </c>
      <c r="I2500" s="42">
        <v>0.21346933000000001</v>
      </c>
      <c r="J2500" s="42">
        <v>3.7768832000000002E-2</v>
      </c>
      <c r="K2500" s="42">
        <v>9.2564276000000001E-2</v>
      </c>
      <c r="L2500" s="44">
        <v>1.4870426780000001</v>
      </c>
    </row>
    <row r="2501" spans="1:12" hidden="1">
      <c r="A2501" s="41" t="s">
        <v>3328</v>
      </c>
      <c r="B2501" s="41"/>
      <c r="C2501" s="41" t="s">
        <v>811</v>
      </c>
      <c r="D2501" s="65">
        <v>25565</v>
      </c>
      <c r="E2501" s="42">
        <v>3.01</v>
      </c>
      <c r="F2501" s="43">
        <v>5.4061485999999999</v>
      </c>
      <c r="G2501" s="42">
        <v>0.56150518000000005</v>
      </c>
      <c r="H2501" s="42">
        <v>0.44164916999999998</v>
      </c>
      <c r="I2501" s="42">
        <v>0.24886384</v>
      </c>
      <c r="J2501" s="42">
        <v>3.7768032999999999E-2</v>
      </c>
      <c r="K2501" s="42">
        <v>1.7696322E-2</v>
      </c>
      <c r="L2501" s="44">
        <v>6.7136311449999999</v>
      </c>
    </row>
    <row r="2502" spans="1:12" hidden="1">
      <c r="A2502" s="41" t="s">
        <v>3329</v>
      </c>
      <c r="B2502" s="41"/>
      <c r="C2502" s="41" t="s">
        <v>1085</v>
      </c>
      <c r="D2502" s="65">
        <v>19550</v>
      </c>
      <c r="E2502" s="42">
        <v>2.4900000000000002</v>
      </c>
      <c r="F2502" s="43">
        <v>1.6776580999999999</v>
      </c>
      <c r="G2502" s="42">
        <v>0.14937423999999999</v>
      </c>
      <c r="H2502" s="42">
        <v>0.18031662000000001</v>
      </c>
      <c r="I2502" s="42">
        <v>0.18472706999999999</v>
      </c>
      <c r="J2502" s="42">
        <v>3.5969872999999999E-2</v>
      </c>
      <c r="K2502" s="42">
        <v>6.6736979E-3</v>
      </c>
      <c r="L2502" s="44">
        <v>2.2347196009000001</v>
      </c>
    </row>
    <row r="2503" spans="1:12" hidden="1">
      <c r="A2503" s="41" t="s">
        <v>3330</v>
      </c>
      <c r="B2503" s="41"/>
      <c r="C2503" s="41" t="s">
        <v>1085</v>
      </c>
      <c r="D2503" s="65">
        <v>19860</v>
      </c>
      <c r="E2503" s="42">
        <v>2.48</v>
      </c>
      <c r="F2503" s="43">
        <v>1.5332604999999999</v>
      </c>
      <c r="G2503" s="42">
        <v>0.14982271999999999</v>
      </c>
      <c r="H2503" s="42">
        <v>0.18031662000000001</v>
      </c>
      <c r="I2503" s="42">
        <v>0.20131239000000001</v>
      </c>
      <c r="J2503" s="42">
        <v>3.5969872999999999E-2</v>
      </c>
      <c r="K2503" s="42">
        <v>6.6736979E-3</v>
      </c>
      <c r="L2503" s="44">
        <v>2.1073558008999997</v>
      </c>
    </row>
    <row r="2504" spans="1:12" hidden="1">
      <c r="A2504" s="41" t="s">
        <v>3331</v>
      </c>
      <c r="B2504" s="41"/>
      <c r="C2504" s="41" t="s">
        <v>1085</v>
      </c>
      <c r="D2504" s="65">
        <v>19552</v>
      </c>
      <c r="E2504" s="42">
        <v>3.61</v>
      </c>
      <c r="F2504" s="43">
        <v>1.5208069</v>
      </c>
      <c r="G2504" s="42">
        <v>0.14843828000000001</v>
      </c>
      <c r="H2504" s="42">
        <v>0.18031662000000001</v>
      </c>
      <c r="I2504" s="42">
        <v>0.23591028999999999</v>
      </c>
      <c r="J2504" s="42">
        <v>3.5969872999999999E-2</v>
      </c>
      <c r="K2504" s="42">
        <v>6.6736979E-3</v>
      </c>
      <c r="L2504" s="44">
        <v>2.1281156608999998</v>
      </c>
    </row>
    <row r="2505" spans="1:12" hidden="1">
      <c r="A2505" s="41" t="s">
        <v>3332</v>
      </c>
      <c r="B2505" s="41"/>
      <c r="C2505" s="41" t="s">
        <v>1085</v>
      </c>
      <c r="D2505" s="65">
        <v>19556</v>
      </c>
      <c r="E2505" s="42">
        <v>2.4900000000000002</v>
      </c>
      <c r="F2505" s="43">
        <v>1.1087530000000001</v>
      </c>
      <c r="G2505" s="42">
        <v>0.14937423999999999</v>
      </c>
      <c r="H2505" s="42">
        <v>0.18031662000000001</v>
      </c>
      <c r="I2505" s="42">
        <v>0.18472706999999999</v>
      </c>
      <c r="J2505" s="42">
        <v>3.5969872999999999E-2</v>
      </c>
      <c r="K2505" s="42">
        <v>6.6736979E-3</v>
      </c>
      <c r="L2505" s="44">
        <v>1.6658145009000001</v>
      </c>
    </row>
    <row r="2506" spans="1:12" hidden="1">
      <c r="A2506" s="41" t="s">
        <v>3333</v>
      </c>
      <c r="B2506" s="41"/>
      <c r="C2506" s="41" t="s">
        <v>1085</v>
      </c>
      <c r="D2506" s="65">
        <v>19559</v>
      </c>
      <c r="E2506" s="42">
        <v>2.34</v>
      </c>
      <c r="F2506" s="43">
        <v>0.85748407000000004</v>
      </c>
      <c r="G2506" s="42">
        <v>0.16806826</v>
      </c>
      <c r="H2506" s="42">
        <v>0.18031662000000001</v>
      </c>
      <c r="I2506" s="42">
        <v>0.20118551000000001</v>
      </c>
      <c r="J2506" s="42">
        <v>3.5969872999999999E-2</v>
      </c>
      <c r="K2506" s="42">
        <v>6.6736979E-3</v>
      </c>
      <c r="L2506" s="44">
        <v>1.4496980308999998</v>
      </c>
    </row>
    <row r="2507" spans="1:12" hidden="1">
      <c r="A2507" s="41" t="s">
        <v>3334</v>
      </c>
      <c r="B2507" s="41"/>
      <c r="C2507" s="41" t="s">
        <v>1085</v>
      </c>
      <c r="D2507" s="65">
        <v>19575</v>
      </c>
      <c r="E2507" s="42">
        <v>1.9</v>
      </c>
      <c r="F2507" s="43">
        <v>0.85748407000000004</v>
      </c>
      <c r="G2507" s="42">
        <v>0.16806826</v>
      </c>
      <c r="H2507" s="42">
        <v>0.18031662000000001</v>
      </c>
      <c r="I2507" s="42">
        <v>0.20118551000000001</v>
      </c>
      <c r="J2507" s="42">
        <v>3.5969872999999999E-2</v>
      </c>
      <c r="K2507" s="42">
        <v>6.6736979E-3</v>
      </c>
      <c r="L2507" s="44">
        <v>1.4496980308999998</v>
      </c>
    </row>
    <row r="2508" spans="1:12" hidden="1">
      <c r="A2508" s="41" t="s">
        <v>3335</v>
      </c>
      <c r="B2508" s="41"/>
      <c r="C2508" s="41" t="s">
        <v>1085</v>
      </c>
      <c r="D2508" s="65">
        <v>19577</v>
      </c>
      <c r="E2508" s="42">
        <v>1.9</v>
      </c>
      <c r="F2508" s="43">
        <v>0.92880653999999996</v>
      </c>
      <c r="G2508" s="42">
        <v>0.17566393</v>
      </c>
      <c r="H2508" s="42">
        <v>0.18031662000000001</v>
      </c>
      <c r="I2508" s="42">
        <v>0.19908307</v>
      </c>
      <c r="J2508" s="42">
        <v>3.5969872999999999E-2</v>
      </c>
      <c r="K2508" s="42">
        <v>6.6736979E-3</v>
      </c>
      <c r="L2508" s="44">
        <v>1.5265137308999996</v>
      </c>
    </row>
    <row r="2509" spans="1:12" hidden="1">
      <c r="A2509" s="41" t="s">
        <v>3336</v>
      </c>
      <c r="B2509" s="41"/>
      <c r="C2509" s="41" t="s">
        <v>1085</v>
      </c>
      <c r="D2509" s="65">
        <v>19579</v>
      </c>
      <c r="E2509" s="42">
        <v>1.99</v>
      </c>
      <c r="F2509" s="43">
        <v>1.6198836000000001</v>
      </c>
      <c r="G2509" s="42">
        <v>0.14715337000000001</v>
      </c>
      <c r="H2509" s="42">
        <v>0.18031662000000001</v>
      </c>
      <c r="I2509" s="42">
        <v>0.20307807</v>
      </c>
      <c r="J2509" s="42">
        <v>3.5969872999999999E-2</v>
      </c>
      <c r="K2509" s="42">
        <v>6.6736979E-3</v>
      </c>
      <c r="L2509" s="44">
        <v>2.1930752309000003</v>
      </c>
    </row>
    <row r="2510" spans="1:12" hidden="1">
      <c r="A2510" s="41" t="s">
        <v>3337</v>
      </c>
      <c r="B2510" s="41"/>
      <c r="C2510" s="41" t="s">
        <v>1085</v>
      </c>
      <c r="D2510" s="65">
        <v>19558</v>
      </c>
      <c r="E2510" s="42">
        <v>2.4300000000000002</v>
      </c>
      <c r="F2510" s="43">
        <v>1.6198836000000001</v>
      </c>
      <c r="G2510" s="42">
        <v>0.14715337000000001</v>
      </c>
      <c r="H2510" s="42">
        <v>0.18031662000000001</v>
      </c>
      <c r="I2510" s="42">
        <v>0.20307807</v>
      </c>
      <c r="J2510" s="42">
        <v>3.5969872999999999E-2</v>
      </c>
      <c r="K2510" s="42">
        <v>6.6736979E-3</v>
      </c>
      <c r="L2510" s="44">
        <v>2.1930752309000003</v>
      </c>
    </row>
    <row r="2511" spans="1:12" hidden="1">
      <c r="A2511" s="41" t="s">
        <v>3338</v>
      </c>
      <c r="B2511" s="41"/>
      <c r="C2511" s="41" t="s">
        <v>1085</v>
      </c>
      <c r="D2511" s="65">
        <v>19580</v>
      </c>
      <c r="E2511" s="42">
        <v>2.5</v>
      </c>
      <c r="F2511" s="43">
        <v>4.7681940999999997</v>
      </c>
      <c r="G2511" s="42">
        <v>0.24248929</v>
      </c>
      <c r="H2511" s="42">
        <v>0.18031662000000001</v>
      </c>
      <c r="I2511" s="42">
        <v>0.25965796000000002</v>
      </c>
      <c r="J2511" s="42">
        <v>3.5969872999999999E-2</v>
      </c>
      <c r="K2511" s="42">
        <v>6.6736979E-3</v>
      </c>
      <c r="L2511" s="44">
        <v>5.4933015409000001</v>
      </c>
    </row>
    <row r="2512" spans="1:12" hidden="1">
      <c r="A2512" s="41" t="s">
        <v>3339</v>
      </c>
      <c r="B2512" s="41"/>
      <c r="C2512" s="41" t="s">
        <v>1085</v>
      </c>
      <c r="D2512" s="65">
        <v>19581</v>
      </c>
      <c r="E2512" s="42">
        <v>3.17</v>
      </c>
      <c r="F2512" s="43">
        <v>1.5208069</v>
      </c>
      <c r="G2512" s="42">
        <v>0.14843828000000001</v>
      </c>
      <c r="H2512" s="42">
        <v>0.18031662000000001</v>
      </c>
      <c r="I2512" s="42">
        <v>0.23591028999999999</v>
      </c>
      <c r="J2512" s="42">
        <v>3.5969872999999999E-2</v>
      </c>
      <c r="K2512" s="42">
        <v>6.6736979E-3</v>
      </c>
      <c r="L2512" s="44">
        <v>2.1281156608999998</v>
      </c>
    </row>
    <row r="2513" spans="1:12" hidden="1">
      <c r="A2513" s="41" t="s">
        <v>3340</v>
      </c>
      <c r="B2513" s="41"/>
      <c r="C2513" s="41" t="s">
        <v>1085</v>
      </c>
      <c r="D2513" s="65">
        <v>19582</v>
      </c>
      <c r="E2513" s="42">
        <v>3.61</v>
      </c>
      <c r="F2513" s="43">
        <v>1.5208069</v>
      </c>
      <c r="G2513" s="42">
        <v>0.14843828000000001</v>
      </c>
      <c r="H2513" s="42">
        <v>0.18031662000000001</v>
      </c>
      <c r="I2513" s="42">
        <v>0.23591028999999999</v>
      </c>
      <c r="J2513" s="42">
        <v>3.5969872999999999E-2</v>
      </c>
      <c r="K2513" s="42">
        <v>6.6736979E-3</v>
      </c>
      <c r="L2513" s="44">
        <v>2.1281156608999998</v>
      </c>
    </row>
    <row r="2514" spans="1:12" hidden="1">
      <c r="A2514" s="41" t="s">
        <v>3341</v>
      </c>
      <c r="B2514" s="41"/>
      <c r="C2514" s="41" t="s">
        <v>1085</v>
      </c>
      <c r="D2514" s="65">
        <v>19587</v>
      </c>
      <c r="E2514" s="42">
        <v>3.17</v>
      </c>
      <c r="F2514" s="43">
        <v>1.5208069</v>
      </c>
      <c r="G2514" s="42">
        <v>0.14843828000000001</v>
      </c>
      <c r="H2514" s="42">
        <v>0.18031662000000001</v>
      </c>
      <c r="I2514" s="42">
        <v>0.23591028999999999</v>
      </c>
      <c r="J2514" s="42">
        <v>3.5969872999999999E-2</v>
      </c>
      <c r="K2514" s="42">
        <v>6.6736979E-3</v>
      </c>
      <c r="L2514" s="44">
        <v>2.1281156608999998</v>
      </c>
    </row>
    <row r="2515" spans="1:12" hidden="1">
      <c r="A2515" s="41" t="s">
        <v>3342</v>
      </c>
      <c r="B2515" s="41"/>
      <c r="C2515" s="41" t="s">
        <v>1085</v>
      </c>
      <c r="D2515" s="65">
        <v>19589</v>
      </c>
      <c r="E2515" s="42">
        <v>3.61</v>
      </c>
      <c r="F2515" s="43">
        <v>1.5208069</v>
      </c>
      <c r="G2515" s="42">
        <v>0.14843828000000001</v>
      </c>
      <c r="H2515" s="42">
        <v>0.18031662000000001</v>
      </c>
      <c r="I2515" s="42">
        <v>0.23591028999999999</v>
      </c>
      <c r="J2515" s="42">
        <v>3.5969872999999999E-2</v>
      </c>
      <c r="K2515" s="42">
        <v>6.6736979E-3</v>
      </c>
      <c r="L2515" s="44">
        <v>2.1281156608999998</v>
      </c>
    </row>
    <row r="2516" spans="1:12" hidden="1">
      <c r="A2516" s="41" t="s">
        <v>3343</v>
      </c>
      <c r="B2516" s="41"/>
      <c r="C2516" s="41" t="s">
        <v>1085</v>
      </c>
      <c r="D2516" s="65">
        <v>19592</v>
      </c>
      <c r="E2516" s="42">
        <v>3.61</v>
      </c>
      <c r="F2516" s="43">
        <v>1.5208069</v>
      </c>
      <c r="G2516" s="42">
        <v>0.14843828000000001</v>
      </c>
      <c r="H2516" s="42">
        <v>0.18031662000000001</v>
      </c>
      <c r="I2516" s="42">
        <v>0.23591028999999999</v>
      </c>
      <c r="J2516" s="42">
        <v>3.5969872999999999E-2</v>
      </c>
      <c r="K2516" s="42">
        <v>6.6736979E-3</v>
      </c>
      <c r="L2516" s="44">
        <v>2.1281156608999998</v>
      </c>
    </row>
    <row r="2517" spans="1:12" hidden="1">
      <c r="A2517" s="41" t="s">
        <v>3344</v>
      </c>
      <c r="B2517" s="41"/>
      <c r="C2517" s="41" t="s">
        <v>1085</v>
      </c>
      <c r="D2517" s="65">
        <v>19593</v>
      </c>
      <c r="E2517" s="42">
        <v>2.04</v>
      </c>
      <c r="F2517" s="43">
        <v>1.5332604999999999</v>
      </c>
      <c r="G2517" s="42">
        <v>0.14982271999999999</v>
      </c>
      <c r="H2517" s="42">
        <v>0.18031662000000001</v>
      </c>
      <c r="I2517" s="42">
        <v>0.20131239000000001</v>
      </c>
      <c r="J2517" s="42">
        <v>3.5969872999999999E-2</v>
      </c>
      <c r="K2517" s="42">
        <v>6.6736979E-3</v>
      </c>
      <c r="L2517" s="44">
        <v>2.1073558008999997</v>
      </c>
    </row>
    <row r="2518" spans="1:12" hidden="1">
      <c r="A2518" s="41" t="s">
        <v>3345</v>
      </c>
      <c r="B2518" s="41"/>
      <c r="C2518" s="41" t="s">
        <v>1085</v>
      </c>
      <c r="D2518" s="65">
        <v>19594</v>
      </c>
      <c r="E2518" s="42">
        <v>2.48</v>
      </c>
      <c r="F2518" s="43">
        <v>1.5332604999999999</v>
      </c>
      <c r="G2518" s="42">
        <v>0.14982271999999999</v>
      </c>
      <c r="H2518" s="42">
        <v>0.18031662000000001</v>
      </c>
      <c r="I2518" s="42">
        <v>0.20131239000000001</v>
      </c>
      <c r="J2518" s="42">
        <v>3.5969872999999999E-2</v>
      </c>
      <c r="K2518" s="42">
        <v>6.6736979E-3</v>
      </c>
      <c r="L2518" s="44">
        <v>2.1073558008999997</v>
      </c>
    </row>
    <row r="2519" spans="1:12" hidden="1">
      <c r="A2519" s="41" t="s">
        <v>3346</v>
      </c>
      <c r="B2519" s="41"/>
      <c r="C2519" s="41" t="s">
        <v>1085</v>
      </c>
      <c r="D2519" s="65">
        <v>19598</v>
      </c>
      <c r="E2519" s="42">
        <v>1.9</v>
      </c>
      <c r="F2519" s="43">
        <v>1.5373832000000001</v>
      </c>
      <c r="G2519" s="42">
        <v>0.16456688</v>
      </c>
      <c r="H2519" s="42">
        <v>0.18031662000000001</v>
      </c>
      <c r="I2519" s="42">
        <v>0.19833893</v>
      </c>
      <c r="J2519" s="42">
        <v>3.5969872999999999E-2</v>
      </c>
      <c r="K2519" s="42">
        <v>6.6736979E-3</v>
      </c>
      <c r="L2519" s="44">
        <v>2.1232492009000001</v>
      </c>
    </row>
    <row r="2520" spans="1:12" ht="15" hidden="1" thickBot="1">
      <c r="A2520" s="57" t="s">
        <v>3347</v>
      </c>
      <c r="B2520" s="57"/>
      <c r="C2520" s="57" t="s">
        <v>1085</v>
      </c>
      <c r="D2520" s="66">
        <v>19599</v>
      </c>
      <c r="E2520" s="58">
        <v>1.9</v>
      </c>
      <c r="F2520" s="59">
        <v>0.92690139000000005</v>
      </c>
      <c r="G2520" s="58">
        <v>0.16037757999999999</v>
      </c>
      <c r="H2520" s="58">
        <v>0.18031662000000001</v>
      </c>
      <c r="I2520" s="58">
        <v>0.20195202000000001</v>
      </c>
      <c r="J2520" s="58">
        <v>3.5969872999999999E-2</v>
      </c>
      <c r="K2520" s="58">
        <v>6.6736979E-3</v>
      </c>
      <c r="L2520" s="60">
        <v>1.5121911808999999</v>
      </c>
    </row>
  </sheetData>
  <autoFilter ref="A2:L2520" xr:uid="{00000000-0001-0000-1700-000000000000}">
    <filterColumn colId="0">
      <filters>
        <filter val="Ananas au sirop et jus d'ananas, appertisé, égoutté"/>
        <filter val="Ananas au sirop et jus d'ananas, appertisé, non égoutté"/>
        <filter val="Boisson au jus de fruit et au lait"/>
        <filter val="Boisson gazeuse aux fruits (à moins de 10% de jus), non sucrée, avec édulcorants"/>
        <filter val="Boisson gazeuse aux fruits (à moins de 10% de jus), non sucrée, sans édulcorant"/>
        <filter val="Boisson gazeuse aux fruits (à moins de 10% de jus), sucrée"/>
        <filter val="Boisson gazeuse aux fruits (à moins de 10% de jus), sucrée, avec édulcorants"/>
        <filter val="Boisson gazeuse aux fruits (de 10 à 50% de jus), sucrée"/>
        <filter val="Boisson gazeuse, sans jus de fruit, sucrée"/>
        <filter val="Boisson gazeuse, sans jus de fruit, sucrée, avec édulcorants"/>
        <filter val="Boisson plate aux fruits (10 à 50% de jus), à teneur réduite en sucres"/>
        <filter val="Boisson plate aux fruits (10 à 50% de jus), sucrée"/>
        <filter val="Boisson plate aux fruits (à moins de 10% de jus), sucrée"/>
        <filter val="Boisson plate aux fruits (teneur en jus non spécifiée), sucrée"/>
        <filter val="Boisson plate aux fruits, (à moins de 10% de jus), non sucrée, avec édulcorants"/>
        <filter val="Cocktail sans alcool (à base de jus de fruits et de sirop)"/>
        <filter val="Jus d'ananas, à base de concentré"/>
        <filter val="Jus d'ananas, pur jus"/>
        <filter val="Jus de betterave"/>
        <filter val="Jus de carotte, pur jus"/>
        <filter val="Jus de citron, pur jus"/>
        <filter val="Jus de fruits rouges"/>
        <filter val="Jus de mangue, frais"/>
        <filter val="Jus de pamplemousse (pomelo), pur jus"/>
        <filter val="Jus de pomme, pur jus"/>
        <filter val="Jus de raisin, pur jus"/>
        <filter val="Jus de tomate, pur jus (aliment moyen)"/>
        <filter val="Jus d'orange, à base de concentré"/>
        <filter val="Jus d'orange, maison"/>
        <filter val="Jus multifruit - base orange, multivitaminé"/>
        <filter val="Jus multifruit - base pomme, standard"/>
        <filter val="Jus multifruit, à base de concentré, standard"/>
        <filter val="Jus multifruit, pur jus, multivitaminé"/>
        <filter val="Jus multifruit, pur jus, standard"/>
        <filter val="Pain, baguette ou boule, bio (à la farine T55 jusqu'à T110)"/>
      </filters>
    </filterColumn>
  </autoFilter>
  <mergeCells count="1">
    <mergeCell ref="A1:L1"/>
  </mergeCells>
  <conditionalFormatting sqref="F2:K2">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9"/>
  <dimension ref="A1:C12"/>
  <sheetViews>
    <sheetView showGridLines="0" workbookViewId="0"/>
  </sheetViews>
  <sheetFormatPr baseColWidth="10" defaultColWidth="10.81640625" defaultRowHeight="14.5"/>
  <cols>
    <col min="1" max="1" width="10.81640625" customWidth="1"/>
    <col min="2" max="2" width="15" customWidth="1"/>
    <col min="3" max="8" width="10.81640625" customWidth="1"/>
  </cols>
  <sheetData>
    <row r="1" spans="1:3">
      <c r="A1" t="s">
        <v>3367</v>
      </c>
      <c r="B1" t="s">
        <v>3368</v>
      </c>
      <c r="C1" t="s">
        <v>3408</v>
      </c>
    </row>
    <row r="2" spans="1:3">
      <c r="A2" t="s">
        <v>3348</v>
      </c>
      <c r="B2" t="s">
        <v>3369</v>
      </c>
      <c r="C2" t="str">
        <f>'BDD FE'!B131</f>
        <v>2 roues thermiques (moto, scooter)</v>
      </c>
    </row>
    <row r="3" spans="1:3">
      <c r="A3" t="s">
        <v>3349</v>
      </c>
      <c r="B3" t="s">
        <v>3370</v>
      </c>
      <c r="C3" t="str">
        <f>'BDD FE'!B132</f>
        <v>Avion international</v>
      </c>
    </row>
    <row r="4" spans="1:3">
      <c r="C4" t="str">
        <f>'BDD FE'!B133</f>
        <v>Avion national</v>
      </c>
    </row>
    <row r="5" spans="1:3">
      <c r="C5" t="str">
        <f>'BDD FE'!B134</f>
        <v>Bus - transport de ville</v>
      </c>
    </row>
    <row r="6" spans="1:3">
      <c r="C6" t="str">
        <f>'BDD FE'!B141</f>
        <v>Mobilité douce (marche, vélo)</v>
      </c>
    </row>
    <row r="7" spans="1:3">
      <c r="C7" t="str">
        <f>'BDD FE'!B143</f>
        <v>TER</v>
      </c>
    </row>
    <row r="8" spans="1:3">
      <c r="C8" t="str">
        <f>'BDD FE'!B144</f>
        <v>Trains grandes lignes, TGV</v>
      </c>
    </row>
    <row r="9" spans="1:3">
      <c r="C9" t="e">
        <f>'BDD FE'!#REF!</f>
        <v>#REF!</v>
      </c>
    </row>
    <row r="10" spans="1:3">
      <c r="C10" t="e">
        <f>'BDD FE'!#REF!</f>
        <v>#REF!</v>
      </c>
    </row>
    <row r="11" spans="1:3">
      <c r="C11" t="e">
        <f>'BDD FE'!#REF!</f>
        <v>#REF!</v>
      </c>
    </row>
    <row r="12" spans="1:3">
      <c r="C12" t="e">
        <f>'BDD FE'!#REF!</f>
        <v>#REF!</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vt:i4>
      </vt:variant>
    </vt:vector>
  </HeadingPairs>
  <TitlesOfParts>
    <vt:vector size="31" baseType="lpstr">
      <vt:lpstr>Bienvenue !</vt:lpstr>
      <vt:lpstr>0_Commencer</vt:lpstr>
      <vt:lpstr>1_Votre Structure</vt:lpstr>
      <vt:lpstr>2_ConsoEnergieEau</vt:lpstr>
      <vt:lpstr>3_Climatisation</vt:lpstr>
      <vt:lpstr>4_Bâtiments,travaux, agcmt</vt:lpstr>
      <vt:lpstr>5_Déchets</vt:lpstr>
      <vt:lpstr>6_DéplacementsPrestations</vt:lpstr>
      <vt:lpstr>7_DéplacementsProfessionnels</vt:lpstr>
      <vt:lpstr>8_DéplacementsSalariés</vt:lpstr>
      <vt:lpstr>9_DéplacementsVisiteurs</vt:lpstr>
      <vt:lpstr>10_Tournées artistiques</vt:lpstr>
      <vt:lpstr>11_Artistes invité.e.s</vt:lpstr>
      <vt:lpstr>12_Equipements</vt:lpstr>
      <vt:lpstr>BDD FE</vt:lpstr>
      <vt:lpstr>13_Achats - Documents papiers</vt:lpstr>
      <vt:lpstr>14_Décors</vt:lpstr>
      <vt:lpstr>15_Alimentation</vt:lpstr>
      <vt:lpstr>16_Autres achats (€)</vt:lpstr>
      <vt:lpstr>17_TransportMatériel</vt:lpstr>
      <vt:lpstr>18_ImpressionsComPapier</vt:lpstr>
      <vt:lpstr>19_ComDigitale</vt:lpstr>
      <vt:lpstr>20_Billetterie</vt:lpstr>
      <vt:lpstr>Tableau de Synthèse</vt:lpstr>
      <vt:lpstr>Synthèse imprimable</vt:lpstr>
      <vt:lpstr>BDD FE Alim</vt:lpstr>
      <vt:lpstr>BDD agribalyse</vt:lpstr>
      <vt:lpstr>Liste</vt:lpstr>
      <vt:lpstr>BDDAgribalyse</vt:lpstr>
      <vt:lpstr>VOITURES</vt:lpstr>
      <vt:lpstr>'Synthèse imprimable'!Zone_d_impression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2024-04-23T10:39:36Z</dcterms:created>
  <dcterms:modified xsi:type="dcterms:W3CDTF">2025-05-28T10:02:42Z</dcterms:modified>
  <cp:category/>
  <cp:contentStatus/>
</cp:coreProperties>
</file>